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53222"/>
  <mc:AlternateContent xmlns:mc="http://schemas.openxmlformats.org/markup-compatibility/2006">
    <mc:Choice Requires="x15">
      <x15ac:absPath xmlns:x15ac="http://schemas.microsoft.com/office/spreadsheetml/2010/11/ac" url="S:\Jodi\Budget\"/>
    </mc:Choice>
  </mc:AlternateContent>
  <bookViews>
    <workbookView xWindow="0" yWindow="60" windowWidth="17970" windowHeight="5775"/>
  </bookViews>
  <sheets>
    <sheet name="Compar Page" sheetId="2" r:id="rId1"/>
    <sheet name="Resolution page" sheetId="3" r:id="rId2"/>
    <sheet name="MCS Budget - Detailed" sheetId="4" r:id="rId3"/>
    <sheet name="CCS Budget - Detailed" sheetId="6" r:id="rId4"/>
    <sheet name="Uniform Budget Summary" sheetId="5" r:id="rId5"/>
    <sheet name="AptaFund Formulas" sheetId="7" r:id="rId6"/>
    <sheet name="AptaFund Import" sheetId="8" r:id="rId7"/>
  </sheets>
  <definedNames>
    <definedName name="_xlnm.Print_Area" localSheetId="3">'CCS Budget - Detailed'!$A$1:$H$338</definedName>
    <definedName name="_xlnm.Print_Area" localSheetId="0">'Compar Page'!$A$3:$F$40</definedName>
    <definedName name="_xlnm.Print_Area" localSheetId="2">'MCS Budget - Detailed'!$A$1:$N$1035</definedName>
    <definedName name="_xlnm.Print_Area" localSheetId="1">'Resolution page'!$A$1:$E$46</definedName>
    <definedName name="_xlnm.Print_Area" localSheetId="4">'Uniform Budget Summary'!$A$1:$BK$223</definedName>
    <definedName name="_xlnm.Print_Titles" localSheetId="2">'MCS Budget - Detailed'!$63:$63</definedName>
    <definedName name="_xlnm.Print_Titles" localSheetId="4">'Uniform Budget Summary'!$1:$3</definedName>
  </definedNames>
  <calcPr calcId="15251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1011" i="8" l="1"/>
  <c r="E1010" i="8"/>
  <c r="E1009" i="8"/>
  <c r="E1008" i="8"/>
  <c r="E1007" i="8"/>
  <c r="E1006" i="8"/>
  <c r="E1005" i="8"/>
  <c r="E1004" i="8"/>
  <c r="E1003" i="8"/>
  <c r="E1002" i="8"/>
  <c r="E1001" i="8"/>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E15" i="8"/>
  <c r="E14" i="8"/>
  <c r="E13" i="8"/>
  <c r="E12" i="8"/>
  <c r="E11" i="8"/>
  <c r="E10" i="8"/>
  <c r="E9" i="8"/>
  <c r="E8" i="8"/>
  <c r="E7" i="8"/>
  <c r="E6" i="8"/>
  <c r="E5" i="8"/>
  <c r="E4" i="8"/>
  <c r="F540" i="7"/>
  <c r="D34" i="5" l="1"/>
  <c r="D33" i="5"/>
  <c r="D39" i="5"/>
  <c r="D49" i="5"/>
  <c r="D47" i="5"/>
  <c r="D74" i="5"/>
  <c r="D97" i="5"/>
  <c r="D128" i="5"/>
  <c r="D132" i="5"/>
  <c r="J35" i="5"/>
  <c r="F129" i="5"/>
  <c r="F105" i="5"/>
  <c r="F82" i="5"/>
  <c r="F47" i="5"/>
  <c r="F46" i="5"/>
  <c r="F38" i="5"/>
  <c r="F37" i="5"/>
  <c r="F35" i="5"/>
  <c r="F34" i="5"/>
  <c r="F1011" i="7"/>
  <c r="F1010" i="7"/>
  <c r="F1009" i="7"/>
  <c r="F1007" i="7"/>
  <c r="F1008" i="7"/>
  <c r="F1005" i="7"/>
  <c r="F1004" i="7"/>
  <c r="F1003" i="7"/>
  <c r="F1002" i="7"/>
  <c r="F1000" i="7"/>
  <c r="F982" i="7"/>
  <c r="F991" i="7"/>
  <c r="F973" i="7"/>
  <c r="F970" i="7"/>
  <c r="F947" i="7"/>
  <c r="F946" i="7"/>
  <c r="F945" i="7"/>
  <c r="F906" i="7"/>
  <c r="F905" i="7"/>
  <c r="F919" i="7"/>
  <c r="F918" i="7"/>
  <c r="F917" i="7"/>
  <c r="F916" i="7"/>
  <c r="F915" i="7"/>
  <c r="F880" i="7"/>
  <c r="F876" i="7"/>
  <c r="F940" i="7"/>
  <c r="F864" i="7"/>
  <c r="F926" i="7"/>
  <c r="F925" i="7"/>
  <c r="F921" i="7"/>
  <c r="F928" i="7"/>
  <c r="F912" i="7"/>
  <c r="F911" i="7"/>
  <c r="F908" i="7"/>
  <c r="F938" i="7"/>
  <c r="F933" i="7"/>
  <c r="F934" i="7"/>
  <c r="F900" i="7"/>
  <c r="F895" i="7"/>
  <c r="F889" i="7"/>
  <c r="F873" i="7"/>
  <c r="F870" i="7"/>
  <c r="F865" i="7"/>
  <c r="F859" i="7"/>
  <c r="F855" i="7"/>
  <c r="F850" i="7"/>
  <c r="F848" i="7"/>
  <c r="F841" i="7"/>
  <c r="F833" i="7"/>
  <c r="F825" i="7"/>
  <c r="F823" i="7"/>
  <c r="F816" i="7"/>
  <c r="F812" i="7"/>
  <c r="F811" i="7"/>
  <c r="F807" i="7"/>
  <c r="F806" i="7"/>
  <c r="F805" i="7"/>
  <c r="F804" i="7"/>
  <c r="F803" i="7"/>
  <c r="F802" i="7"/>
  <c r="F801" i="7"/>
  <c r="F800" i="7"/>
  <c r="F799" i="7"/>
  <c r="F794" i="7"/>
  <c r="F793" i="7"/>
  <c r="F728" i="7"/>
  <c r="F689" i="7"/>
  <c r="F458" i="7" l="1"/>
  <c r="F395" i="7"/>
  <c r="F681" i="7"/>
  <c r="F672" i="7"/>
  <c r="F669" i="7"/>
  <c r="F668" i="7"/>
  <c r="F642" i="7"/>
  <c r="F641" i="7"/>
  <c r="F640" i="7"/>
  <c r="F621" i="7"/>
  <c r="F616" i="7"/>
  <c r="F603" i="7"/>
  <c r="F588" i="7"/>
  <c r="F581" i="7"/>
  <c r="F580" i="7"/>
  <c r="F579" i="7"/>
  <c r="F578" i="7"/>
  <c r="F577" i="7"/>
  <c r="F582" i="7"/>
  <c r="F576" i="7"/>
  <c r="F573" i="7"/>
  <c r="F570" i="7"/>
  <c r="F567" i="7"/>
  <c r="F562" i="7"/>
  <c r="F561" i="7"/>
  <c r="F549" i="7"/>
  <c r="F548" i="7"/>
  <c r="F546" i="7"/>
  <c r="F532" i="7"/>
  <c r="F518" i="7"/>
  <c r="F512" i="7"/>
  <c r="F507" i="7"/>
  <c r="F499" i="7"/>
  <c r="F488" i="7"/>
  <c r="F487" i="7"/>
  <c r="F475" i="7"/>
  <c r="F467" i="7"/>
  <c r="F464" i="7"/>
  <c r="F463" i="7"/>
  <c r="F462" i="7"/>
  <c r="F461" i="7"/>
  <c r="F459" i="7"/>
  <c r="F453" i="7"/>
  <c r="F452" i="7"/>
  <c r="F436" i="7"/>
  <c r="F437" i="7"/>
  <c r="F435" i="7"/>
  <c r="F434" i="7"/>
  <c r="F433" i="7"/>
  <c r="F413" i="7"/>
  <c r="F408" i="7"/>
  <c r="F407" i="7"/>
  <c r="F405" i="7"/>
  <c r="F402" i="7"/>
  <c r="F403" i="7"/>
  <c r="F401" i="7"/>
  <c r="F396" i="7"/>
  <c r="F397" i="7"/>
  <c r="F398" i="7"/>
  <c r="F399" i="7"/>
  <c r="F400" i="7"/>
  <c r="F385" i="7"/>
  <c r="F384" i="7"/>
  <c r="F382" i="7"/>
  <c r="F380" i="7"/>
  <c r="F378" i="7"/>
  <c r="F374" i="7"/>
  <c r="F376" i="7"/>
  <c r="F365" i="7"/>
  <c r="F362" i="7"/>
  <c r="F360" i="7"/>
  <c r="F352" i="7"/>
  <c r="F351" i="7"/>
  <c r="F349" i="7"/>
  <c r="F338" i="7"/>
  <c r="F332" i="7"/>
  <c r="F323" i="7"/>
  <c r="F324" i="7"/>
  <c r="F325" i="7"/>
  <c r="F326" i="7"/>
  <c r="F327" i="7"/>
  <c r="F328" i="7"/>
  <c r="F329" i="7"/>
  <c r="F330" i="7"/>
  <c r="F319" i="7"/>
  <c r="F314" i="7"/>
  <c r="F315" i="7"/>
  <c r="F316" i="7"/>
  <c r="F312" i="7"/>
  <c r="F306" i="7"/>
  <c r="F307" i="7"/>
  <c r="F301" i="7"/>
  <c r="F296" i="7"/>
  <c r="F290" i="7"/>
  <c r="F275" i="7"/>
  <c r="F266" i="7"/>
  <c r="F255" i="7"/>
  <c r="F256" i="7"/>
  <c r="F257" i="7"/>
  <c r="F253" i="7"/>
  <c r="F251" i="7"/>
  <c r="F249" i="7"/>
  <c r="F247" i="7"/>
  <c r="F245" i="7"/>
  <c r="F243" i="7"/>
  <c r="F233" i="7"/>
  <c r="F240" i="7"/>
  <c r="F238" i="7"/>
  <c r="F236" i="7"/>
  <c r="F234" i="7"/>
  <c r="F231" i="7"/>
  <c r="F229" i="7"/>
  <c r="F227" i="7"/>
  <c r="F225" i="7"/>
  <c r="F223" i="7"/>
  <c r="F221" i="7"/>
  <c r="F219" i="7"/>
  <c r="F218" i="7"/>
  <c r="F216" i="7"/>
  <c r="F207" i="7"/>
  <c r="F198" i="7"/>
  <c r="F179" i="7"/>
  <c r="F162" i="7"/>
  <c r="F153" i="7"/>
  <c r="F144" i="7"/>
  <c r="F135" i="7"/>
  <c r="F126" i="7"/>
  <c r="F117" i="7"/>
  <c r="F108" i="7"/>
  <c r="F99" i="7"/>
  <c r="F89" i="7"/>
  <c r="F90" i="7"/>
  <c r="F75" i="7"/>
  <c r="F76" i="7"/>
  <c r="F63" i="7"/>
  <c r="F61" i="7"/>
  <c r="F55" i="7"/>
  <c r="F47" i="7"/>
  <c r="F41" i="7"/>
  <c r="F42" i="7"/>
  <c r="F38" i="7"/>
  <c r="F39" i="7"/>
  <c r="F35" i="7"/>
  <c r="F26" i="7"/>
  <c r="F21" i="7"/>
  <c r="F22" i="7"/>
  <c r="F23" i="7"/>
  <c r="F24" i="7"/>
  <c r="F18" i="7"/>
  <c r="F14" i="7"/>
  <c r="F15" i="7"/>
  <c r="F9" i="7"/>
  <c r="R213" i="5"/>
  <c r="R137" i="5"/>
  <c r="R125" i="5"/>
  <c r="R113" i="5"/>
  <c r="R102" i="5"/>
  <c r="R90" i="5"/>
  <c r="R78" i="5"/>
  <c r="R66" i="5"/>
  <c r="R54" i="5"/>
  <c r="R38" i="5"/>
  <c r="R10" i="5"/>
  <c r="R7" i="5"/>
  <c r="N7" i="5"/>
  <c r="C40" i="2" l="1"/>
  <c r="B40" i="2"/>
  <c r="B39" i="2"/>
  <c r="D38" i="2"/>
  <c r="B38" i="2"/>
  <c r="B39" i="3"/>
  <c r="B38" i="3"/>
  <c r="B37" i="3"/>
  <c r="G366" i="6"/>
  <c r="D355" i="6"/>
  <c r="AK212" i="5"/>
  <c r="AK213" i="5"/>
  <c r="C366" i="6"/>
  <c r="C369" i="6" s="1"/>
  <c r="E366" i="6"/>
  <c r="F366" i="6"/>
  <c r="F369" i="6" s="1"/>
  <c r="H366" i="6"/>
  <c r="J366" i="6"/>
  <c r="I366" i="6"/>
  <c r="D105" i="5"/>
  <c r="F110" i="5"/>
  <c r="AK110" i="5"/>
  <c r="AK25" i="5"/>
  <c r="AK10" i="5"/>
  <c r="AK7" i="5"/>
  <c r="F215" i="5"/>
  <c r="F192" i="5"/>
  <c r="F121" i="5"/>
  <c r="F119" i="5"/>
  <c r="F117" i="5"/>
  <c r="F116" i="5"/>
  <c r="F109" i="5"/>
  <c r="F108" i="5"/>
  <c r="F107" i="5"/>
  <c r="F106" i="5"/>
  <c r="F104" i="5"/>
  <c r="F86" i="5"/>
  <c r="F85" i="5"/>
  <c r="F83" i="5"/>
  <c r="F81" i="5"/>
  <c r="C39" i="2" l="1"/>
  <c r="F1006" i="7"/>
  <c r="H1006" i="7" s="1"/>
  <c r="F62" i="5"/>
  <c r="F61" i="5"/>
  <c r="F59" i="5"/>
  <c r="F58" i="5"/>
  <c r="F57" i="5"/>
  <c r="F50" i="5"/>
  <c r="F45" i="5"/>
  <c r="F39" i="5"/>
  <c r="F36" i="5"/>
  <c r="F33" i="5"/>
  <c r="F25" i="5"/>
  <c r="F23" i="5"/>
  <c r="F16" i="5"/>
  <c r="F14" i="5"/>
  <c r="F10" i="5"/>
  <c r="F7" i="5"/>
  <c r="J386" i="6"/>
  <c r="E18" i="3" s="1"/>
  <c r="J381" i="6"/>
  <c r="I386" i="6"/>
  <c r="C18" i="3" s="1"/>
  <c r="I381" i="6"/>
  <c r="J362" i="6"/>
  <c r="J369" i="6" s="1"/>
  <c r="E13" i="3" s="1"/>
  <c r="I362" i="6"/>
  <c r="I369" i="6" s="1"/>
  <c r="C13" i="3" s="1"/>
  <c r="H362" i="6"/>
  <c r="H369" i="6" s="1"/>
  <c r="I355" i="6"/>
  <c r="G362" i="6"/>
  <c r="G369" i="6" s="1"/>
  <c r="G355" i="6"/>
  <c r="F355" i="6"/>
  <c r="E362" i="6"/>
  <c r="E369" i="6" s="1"/>
  <c r="E355" i="6"/>
  <c r="C355" i="6"/>
  <c r="J388" i="6" l="1"/>
  <c r="I388" i="6"/>
  <c r="H334" i="6"/>
  <c r="G334" i="6"/>
  <c r="F334" i="6"/>
  <c r="E334" i="6"/>
  <c r="D334" i="6"/>
  <c r="C334" i="6"/>
  <c r="E331" i="6"/>
  <c r="H331" i="6"/>
  <c r="G331" i="6"/>
  <c r="H304" i="6"/>
  <c r="G304" i="6"/>
  <c r="F304" i="6"/>
  <c r="E304" i="6"/>
  <c r="D304" i="6"/>
  <c r="C304" i="6"/>
  <c r="D221" i="6"/>
  <c r="F191" i="6"/>
  <c r="D191" i="6"/>
  <c r="C191" i="6"/>
  <c r="H227" i="6"/>
  <c r="G227" i="6"/>
  <c r="F227" i="6"/>
  <c r="E227" i="6"/>
  <c r="D227" i="6"/>
  <c r="C227" i="6"/>
  <c r="H224" i="6"/>
  <c r="G224" i="6"/>
  <c r="F224" i="6"/>
  <c r="E224" i="6"/>
  <c r="D224" i="6"/>
  <c r="C224" i="6"/>
  <c r="G230" i="6"/>
  <c r="F230" i="6"/>
  <c r="C230" i="6"/>
  <c r="H230" i="6"/>
  <c r="E230" i="6"/>
  <c r="D230" i="6"/>
  <c r="H221" i="6"/>
  <c r="G221" i="6"/>
  <c r="F221" i="6"/>
  <c r="E221" i="6"/>
  <c r="C221" i="6"/>
  <c r="H242" i="6"/>
  <c r="G242" i="6"/>
  <c r="F242" i="6"/>
  <c r="E242" i="6"/>
  <c r="D242" i="6"/>
  <c r="C242" i="6"/>
  <c r="F218" i="6"/>
  <c r="C218" i="6"/>
  <c r="H206" i="6"/>
  <c r="G206" i="6"/>
  <c r="F206" i="6"/>
  <c r="E206" i="6"/>
  <c r="D206" i="6"/>
  <c r="C206" i="6"/>
  <c r="H199" i="6"/>
  <c r="G199" i="6"/>
  <c r="F199" i="6"/>
  <c r="E199" i="6"/>
  <c r="D199" i="6"/>
  <c r="C199" i="6"/>
  <c r="C188" i="6"/>
  <c r="D188" i="6"/>
  <c r="F188" i="6"/>
  <c r="F158" i="6"/>
  <c r="C158" i="6"/>
  <c r="F133" i="6"/>
  <c r="C133" i="6"/>
  <c r="F106" i="6"/>
  <c r="C106" i="6"/>
  <c r="H85" i="6"/>
  <c r="G85" i="6"/>
  <c r="F85" i="6"/>
  <c r="E85" i="6"/>
  <c r="D85" i="6"/>
  <c r="C85" i="6"/>
  <c r="F29" i="6" l="1"/>
  <c r="C29" i="6"/>
  <c r="C31" i="6" s="1"/>
  <c r="C33" i="6" s="1"/>
  <c r="C36" i="6" s="1"/>
  <c r="G327" i="6"/>
  <c r="G311" i="6"/>
  <c r="G286" i="6"/>
  <c r="G239" i="6"/>
  <c r="G218" i="6"/>
  <c r="G209" i="6"/>
  <c r="G191" i="6"/>
  <c r="G166" i="6"/>
  <c r="G28" i="6"/>
  <c r="G29" i="6" s="1"/>
  <c r="G31" i="6" s="1"/>
  <c r="G33" i="6" s="1"/>
  <c r="E327" i="6"/>
  <c r="E311" i="6"/>
  <c r="E286" i="6"/>
  <c r="E239" i="6"/>
  <c r="E209" i="6"/>
  <c r="E191" i="6"/>
  <c r="E166" i="6"/>
  <c r="E141" i="6"/>
  <c r="E95" i="6"/>
  <c r="E48" i="6"/>
  <c r="E28" i="6"/>
  <c r="E29" i="6" s="1"/>
  <c r="E31" i="6" s="1"/>
  <c r="E33" i="6" s="1"/>
  <c r="E36" i="6" s="1"/>
  <c r="D331" i="6"/>
  <c r="D327" i="6"/>
  <c r="D311" i="6"/>
  <c r="D286" i="6"/>
  <c r="D239" i="6"/>
  <c r="D209" i="6"/>
  <c r="D166" i="6"/>
  <c r="D28" i="6"/>
  <c r="D29" i="6" s="1"/>
  <c r="C331" i="6"/>
  <c r="C327" i="6"/>
  <c r="C324" i="6"/>
  <c r="C317" i="6"/>
  <c r="C311" i="6"/>
  <c r="C286" i="6"/>
  <c r="C279" i="6"/>
  <c r="C239" i="6"/>
  <c r="C209" i="6"/>
  <c r="C166" i="6"/>
  <c r="C149" i="6"/>
  <c r="C141" i="6"/>
  <c r="C95" i="6"/>
  <c r="C78" i="6"/>
  <c r="C68" i="6"/>
  <c r="C58" i="6"/>
  <c r="C48" i="6"/>
  <c r="C244" i="6" l="1"/>
  <c r="C336" i="6" s="1"/>
  <c r="D324" i="6"/>
  <c r="E218" i="6"/>
  <c r="D133" i="6"/>
  <c r="D106" i="6"/>
  <c r="D218" i="6"/>
  <c r="E133" i="6"/>
  <c r="D317" i="6"/>
  <c r="G58" i="6"/>
  <c r="G106" i="6"/>
  <c r="G324" i="6"/>
  <c r="E58" i="6"/>
  <c r="E106" i="6"/>
  <c r="D279" i="6"/>
  <c r="D78" i="6"/>
  <c r="G78" i="6"/>
  <c r="G317" i="6"/>
  <c r="E188" i="6"/>
  <c r="G48" i="6"/>
  <c r="G95" i="6"/>
  <c r="D141" i="6"/>
  <c r="E78" i="6"/>
  <c r="E158" i="6"/>
  <c r="E324" i="6"/>
  <c r="E68" i="6"/>
  <c r="E149" i="6"/>
  <c r="G68" i="6"/>
  <c r="G141" i="6"/>
  <c r="D31" i="6"/>
  <c r="D33" i="6" s="1"/>
  <c r="D36" i="6" s="1"/>
  <c r="D68" i="6"/>
  <c r="G188" i="6"/>
  <c r="D58" i="6"/>
  <c r="E317" i="6"/>
  <c r="G133" i="6"/>
  <c r="G158" i="6"/>
  <c r="G279" i="6"/>
  <c r="E279" i="6"/>
  <c r="D158" i="6"/>
  <c r="D48" i="6"/>
  <c r="D95" i="6"/>
  <c r="D149" i="6"/>
  <c r="D246" i="6"/>
  <c r="D248" i="6" s="1"/>
  <c r="G149" i="6"/>
  <c r="G36" i="6"/>
  <c r="G246" i="6"/>
  <c r="G248" i="6" s="1"/>
  <c r="E246" i="6"/>
  <c r="E248" i="6" s="1"/>
  <c r="D94" i="5"/>
  <c r="D61" i="5"/>
  <c r="D71" i="5"/>
  <c r="D35" i="5"/>
  <c r="D46" i="5"/>
  <c r="D129" i="5"/>
  <c r="D117" i="5"/>
  <c r="D120" i="5"/>
  <c r="D93" i="5"/>
  <c r="D83" i="5"/>
  <c r="D82" i="5"/>
  <c r="D73" i="5"/>
  <c r="D69" i="5"/>
  <c r="D62" i="5"/>
  <c r="D59" i="5"/>
  <c r="D58" i="5"/>
  <c r="D57" i="5"/>
  <c r="D45" i="5"/>
  <c r="D40" i="5"/>
  <c r="D36" i="5"/>
  <c r="N10" i="5"/>
  <c r="J14" i="5"/>
  <c r="D244" i="6" l="1"/>
  <c r="E244" i="6"/>
  <c r="E336" i="6" s="1"/>
  <c r="G244" i="6"/>
  <c r="M282" i="4"/>
  <c r="M279" i="4"/>
  <c r="M277" i="4"/>
  <c r="M275" i="4"/>
  <c r="M272" i="4"/>
  <c r="M270" i="4"/>
  <c r="M266" i="4"/>
  <c r="M264" i="4"/>
  <c r="M262" i="4"/>
  <c r="N285" i="4"/>
  <c r="L285" i="4"/>
  <c r="J285" i="4"/>
  <c r="I285" i="4"/>
  <c r="M260" i="4"/>
  <c r="M827" i="4"/>
  <c r="M403" i="4"/>
  <c r="M857" i="4"/>
  <c r="D336" i="6" l="1"/>
  <c r="D340" i="6" s="1"/>
  <c r="D342" i="6" s="1"/>
  <c r="G336" i="6"/>
  <c r="G340" i="6" s="1"/>
  <c r="G338" i="6" s="1"/>
  <c r="M268" i="4"/>
  <c r="D338" i="6" l="1"/>
  <c r="G342" i="6"/>
  <c r="N494" i="4"/>
  <c r="L494" i="4"/>
  <c r="K494" i="4"/>
  <c r="J494" i="4"/>
  <c r="I494" i="4"/>
  <c r="M493" i="4"/>
  <c r="G344" i="6" l="1"/>
  <c r="C5" i="3"/>
  <c r="M838" i="4"/>
  <c r="M824" i="4"/>
  <c r="M823" i="4"/>
  <c r="M792" i="4"/>
  <c r="M791" i="4"/>
  <c r="M790" i="4"/>
  <c r="M763" i="4"/>
  <c r="M745" i="4"/>
  <c r="M729" i="4"/>
  <c r="N730" i="4"/>
  <c r="L730" i="4"/>
  <c r="J730" i="4"/>
  <c r="I730" i="4"/>
  <c r="M715" i="4"/>
  <c r="M677" i="4"/>
  <c r="M644" i="4"/>
  <c r="M630" i="4"/>
  <c r="M620" i="4"/>
  <c r="M605" i="4"/>
  <c r="M604" i="4"/>
  <c r="M550" i="4"/>
  <c r="M524" i="4"/>
  <c r="M523" i="4"/>
  <c r="M522" i="4"/>
  <c r="M501" i="4"/>
  <c r="N502" i="4"/>
  <c r="L502" i="4"/>
  <c r="K502" i="4"/>
  <c r="J502" i="4"/>
  <c r="I502" i="4"/>
  <c r="M444" i="4"/>
  <c r="M428" i="4"/>
  <c r="M415" i="4"/>
  <c r="M376" i="4"/>
  <c r="M375" i="4"/>
  <c r="M322" i="4"/>
  <c r="M311" i="4"/>
  <c r="M299" i="4"/>
  <c r="M274" i="4"/>
  <c r="M257" i="4"/>
  <c r="M247" i="4"/>
  <c r="M236" i="4"/>
  <c r="M226" i="4"/>
  <c r="M204" i="4"/>
  <c r="M184" i="4"/>
  <c r="M174" i="4"/>
  <c r="M164" i="4"/>
  <c r="M154" i="4"/>
  <c r="M143" i="4"/>
  <c r="M133" i="4"/>
  <c r="M123" i="4"/>
  <c r="M113" i="4"/>
  <c r="M102" i="4"/>
  <c r="M103" i="4"/>
  <c r="M87" i="4"/>
  <c r="M88" i="4"/>
  <c r="N807" i="4"/>
  <c r="M484" i="4" l="1"/>
  <c r="N462" i="4"/>
  <c r="D38" i="5" s="1"/>
  <c r="M573" i="4"/>
  <c r="M570" i="4"/>
  <c r="M567" i="4"/>
  <c r="M562" i="4"/>
  <c r="N560" i="4"/>
  <c r="F460" i="7" s="1"/>
  <c r="N366" i="4"/>
  <c r="N358" i="4"/>
  <c r="N352" i="4"/>
  <c r="N345" i="4"/>
  <c r="N75" i="4"/>
  <c r="J75" i="4"/>
  <c r="I75" i="4"/>
  <c r="M74" i="4"/>
  <c r="F387" i="7" l="1"/>
  <c r="M364" i="4"/>
  <c r="N374" i="4"/>
  <c r="N348" i="4"/>
  <c r="N342" i="4"/>
  <c r="L342" i="4"/>
  <c r="M297" i="4" l="1"/>
  <c r="M295" i="4"/>
  <c r="M296" i="4"/>
  <c r="M293" i="4"/>
  <c r="M291" i="4"/>
  <c r="M289" i="4"/>
  <c r="M287" i="4"/>
  <c r="M430" i="4" l="1"/>
  <c r="M387" i="4"/>
  <c r="M696" i="4"/>
  <c r="M718" i="4"/>
  <c r="M720" i="4"/>
  <c r="M712" i="4"/>
  <c r="M708" i="4"/>
  <c r="M704" i="4"/>
  <c r="M698" i="4"/>
  <c r="M365" i="4" l="1"/>
  <c r="M357" i="4"/>
  <c r="M351" i="4"/>
  <c r="M344" i="4"/>
  <c r="M66" i="4"/>
  <c r="M680" i="4" l="1"/>
  <c r="M660" i="4"/>
  <c r="N539" i="4"/>
  <c r="M526" i="4" l="1"/>
  <c r="M386" i="4"/>
  <c r="M21" i="4"/>
  <c r="M433" i="4"/>
  <c r="N1020" i="4" l="1"/>
  <c r="M42" i="4" l="1"/>
  <c r="M9" i="4"/>
  <c r="M27" i="4"/>
  <c r="M26" i="4"/>
  <c r="M25" i="4"/>
  <c r="M46" i="4"/>
  <c r="M721" i="4" l="1"/>
  <c r="N722" i="4"/>
  <c r="L722" i="4"/>
  <c r="J722" i="4"/>
  <c r="M390" i="4" l="1"/>
  <c r="M389" i="4"/>
  <c r="M388" i="4"/>
  <c r="M492" i="4" l="1"/>
  <c r="M482" i="4" l="1"/>
  <c r="M474" i="4"/>
  <c r="M478" i="4"/>
  <c r="M477" i="4"/>
  <c r="M476" i="4"/>
  <c r="M475" i="4"/>
  <c r="M473" i="4"/>
  <c r="M39" i="4" l="1"/>
  <c r="M59" i="4"/>
  <c r="M58" i="4"/>
  <c r="M481" i="4"/>
  <c r="M480" i="4"/>
  <c r="M391" i="4"/>
  <c r="M380" i="4"/>
  <c r="M377" i="4"/>
  <c r="N584" i="4" l="1"/>
  <c r="D50" i="5" s="1"/>
  <c r="N553" i="4"/>
  <c r="D37" i="5" s="1"/>
  <c r="M551" i="4" l="1"/>
  <c r="M577" i="4"/>
  <c r="M561" i="4"/>
  <c r="M925" i="4" l="1"/>
  <c r="M927" i="4"/>
  <c r="M72" i="4"/>
  <c r="M43" i="4"/>
  <c r="M638" i="4" l="1"/>
  <c r="M617" i="4"/>
  <c r="M615" i="4"/>
  <c r="M612" i="4"/>
  <c r="M460" i="4"/>
  <c r="M459" i="4"/>
  <c r="M456" i="4"/>
  <c r="M453" i="4"/>
  <c r="M450" i="4"/>
  <c r="M329" i="4"/>
  <c r="M1031" i="4" l="1"/>
  <c r="M1027" i="4"/>
  <c r="M1026" i="4"/>
  <c r="M1021" i="4"/>
  <c r="M1019" i="4"/>
  <c r="M1018" i="4"/>
  <c r="M1016" i="4"/>
  <c r="M1015" i="4"/>
  <c r="M1014" i="4"/>
  <c r="M1009" i="4"/>
  <c r="M1008" i="4"/>
  <c r="M1007" i="4"/>
  <c r="M1006" i="4"/>
  <c r="M1003" i="4"/>
  <c r="M999" i="4"/>
  <c r="M998" i="4"/>
  <c r="M993" i="4"/>
  <c r="M991" i="4"/>
  <c r="M990" i="4"/>
  <c r="M989" i="4"/>
  <c r="M986" i="4"/>
  <c r="M984" i="4"/>
  <c r="M983" i="4"/>
  <c r="M982" i="4"/>
  <c r="M978" i="4"/>
  <c r="M977" i="4"/>
  <c r="M976" i="4"/>
  <c r="M975" i="4"/>
  <c r="M974" i="4"/>
  <c r="M973" i="4"/>
  <c r="M972" i="4"/>
  <c r="M971" i="4"/>
  <c r="M966" i="4"/>
  <c r="M963" i="4"/>
  <c r="M962" i="4"/>
  <c r="M961" i="4"/>
  <c r="M960" i="4"/>
  <c r="M959" i="4"/>
  <c r="M958" i="4"/>
  <c r="M957" i="4"/>
  <c r="M956" i="4"/>
  <c r="M955" i="4"/>
  <c r="M954" i="4"/>
  <c r="M953" i="4"/>
  <c r="M952" i="4"/>
  <c r="M951" i="4"/>
  <c r="M950" i="4"/>
  <c r="M949" i="4"/>
  <c r="M948" i="4"/>
  <c r="M946" i="4"/>
  <c r="M943" i="4"/>
  <c r="M941" i="4"/>
  <c r="M940" i="4"/>
  <c r="M938" i="4"/>
  <c r="M933" i="4"/>
  <c r="M932" i="4"/>
  <c r="M931" i="4"/>
  <c r="M930" i="4"/>
  <c r="M929" i="4"/>
  <c r="M928" i="4"/>
  <c r="M926" i="4"/>
  <c r="M924" i="4"/>
  <c r="M923" i="4"/>
  <c r="M922" i="4"/>
  <c r="M917" i="4"/>
  <c r="M915" i="4"/>
  <c r="M913" i="4"/>
  <c r="M911" i="4"/>
  <c r="M909" i="4"/>
  <c r="M907" i="4"/>
  <c r="M905" i="4"/>
  <c r="M904" i="4"/>
  <c r="M903" i="4"/>
  <c r="M902" i="4"/>
  <c r="M901" i="4"/>
  <c r="M900" i="4"/>
  <c r="M898" i="4"/>
  <c r="M896" i="4"/>
  <c r="M895" i="4"/>
  <c r="M894" i="4"/>
  <c r="M893" i="4"/>
  <c r="M892" i="4"/>
  <c r="M890" i="4"/>
  <c r="M889" i="4"/>
  <c r="M888" i="4"/>
  <c r="M887" i="4"/>
  <c r="M886" i="4"/>
  <c r="M885" i="4"/>
  <c r="M884" i="4"/>
  <c r="M883" i="4"/>
  <c r="M882" i="4"/>
  <c r="M881" i="4"/>
  <c r="M880" i="4"/>
  <c r="M879" i="4"/>
  <c r="M878" i="4"/>
  <c r="M877" i="4"/>
  <c r="M876" i="4"/>
  <c r="M875" i="4"/>
  <c r="M874" i="4"/>
  <c r="M873" i="4"/>
  <c r="M872" i="4"/>
  <c r="M870" i="4"/>
  <c r="M869" i="4"/>
  <c r="M868" i="4"/>
  <c r="M867" i="4"/>
  <c r="M866" i="4"/>
  <c r="M865" i="4"/>
  <c r="M864" i="4"/>
  <c r="M863" i="4"/>
  <c r="M859" i="4"/>
  <c r="M858" i="4"/>
  <c r="M856" i="4"/>
  <c r="M855" i="4"/>
  <c r="M850" i="4"/>
  <c r="M848" i="4"/>
  <c r="M846" i="4"/>
  <c r="M843" i="4"/>
  <c r="M841" i="4"/>
  <c r="M839" i="4"/>
  <c r="M837" i="4"/>
  <c r="M836" i="4"/>
  <c r="M835" i="4"/>
  <c r="M834" i="4"/>
  <c r="M832" i="4"/>
  <c r="M831" i="4"/>
  <c r="M830" i="4"/>
  <c r="M829" i="4"/>
  <c r="M828" i="4"/>
  <c r="M826" i="4"/>
  <c r="M825" i="4"/>
  <c r="M822" i="4"/>
  <c r="M821" i="4"/>
  <c r="M820" i="4"/>
  <c r="M819" i="4"/>
  <c r="M818" i="4"/>
  <c r="M817" i="4"/>
  <c r="M814" i="4"/>
  <c r="M811" i="4"/>
  <c r="M810" i="4"/>
  <c r="M809" i="4"/>
  <c r="M805" i="4"/>
  <c r="M804" i="4"/>
  <c r="M803" i="4"/>
  <c r="M802" i="4"/>
  <c r="M801" i="4"/>
  <c r="M800" i="4"/>
  <c r="M799" i="4"/>
  <c r="M798" i="4"/>
  <c r="M797" i="4"/>
  <c r="M796" i="4"/>
  <c r="M795" i="4"/>
  <c r="M794" i="4"/>
  <c r="M793" i="4"/>
  <c r="M789" i="4"/>
  <c r="M788" i="4"/>
  <c r="M787" i="4"/>
  <c r="M786" i="4"/>
  <c r="M785" i="4"/>
  <c r="M784" i="4"/>
  <c r="M777" i="4"/>
  <c r="M776" i="4"/>
  <c r="M775" i="4"/>
  <c r="M769" i="4"/>
  <c r="M768" i="4"/>
  <c r="M766" i="4"/>
  <c r="M765" i="4"/>
  <c r="M764" i="4"/>
  <c r="M762" i="4"/>
  <c r="M761" i="4"/>
  <c r="M758" i="4"/>
  <c r="M754" i="4"/>
  <c r="M753" i="4"/>
  <c r="M752" i="4"/>
  <c r="M751" i="4"/>
  <c r="M750" i="4"/>
  <c r="M749" i="4"/>
  <c r="M748" i="4"/>
  <c r="M747" i="4"/>
  <c r="M746" i="4"/>
  <c r="M744" i="4"/>
  <c r="M743" i="4"/>
  <c r="M742" i="4"/>
  <c r="M741" i="4"/>
  <c r="M740" i="4"/>
  <c r="M739" i="4"/>
  <c r="M737" i="4"/>
  <c r="M736" i="4"/>
  <c r="M734" i="4"/>
  <c r="M733" i="4"/>
  <c r="M732" i="4"/>
  <c r="M728" i="4"/>
  <c r="M727" i="4"/>
  <c r="M725" i="4"/>
  <c r="M724" i="4"/>
  <c r="M719" i="4"/>
  <c r="M717" i="4"/>
  <c r="M716" i="4"/>
  <c r="M714" i="4"/>
  <c r="M713" i="4"/>
  <c r="M711" i="4"/>
  <c r="M710" i="4"/>
  <c r="M709" i="4"/>
  <c r="M707" i="4"/>
  <c r="M706" i="4"/>
  <c r="M703" i="4"/>
  <c r="M702" i="4"/>
  <c r="M701" i="4"/>
  <c r="M700" i="4"/>
  <c r="M699" i="4"/>
  <c r="M697" i="4"/>
  <c r="M695" i="4"/>
  <c r="M692" i="4"/>
  <c r="M691" i="4"/>
  <c r="M690" i="4"/>
  <c r="M689" i="4"/>
  <c r="M688" i="4"/>
  <c r="M687" i="4"/>
  <c r="M686" i="4"/>
  <c r="M685" i="4"/>
  <c r="M684" i="4"/>
  <c r="M683" i="4"/>
  <c r="M682" i="4"/>
  <c r="M681" i="4"/>
  <c r="M679" i="4"/>
  <c r="M678" i="4"/>
  <c r="M676" i="4"/>
  <c r="M675" i="4"/>
  <c r="M672" i="4"/>
  <c r="M671" i="4"/>
  <c r="M668" i="4"/>
  <c r="M666" i="4"/>
  <c r="M664" i="4"/>
  <c r="M663" i="4"/>
  <c r="M662" i="4"/>
  <c r="M661" i="4"/>
  <c r="M659" i="4"/>
  <c r="M658" i="4"/>
  <c r="M657" i="4"/>
  <c r="M656" i="4"/>
  <c r="M655" i="4"/>
  <c r="M654" i="4"/>
  <c r="M652" i="4"/>
  <c r="M651" i="4"/>
  <c r="M650" i="4"/>
  <c r="M649" i="4"/>
  <c r="M648" i="4"/>
  <c r="M647" i="4"/>
  <c r="M646" i="4"/>
  <c r="M645" i="4"/>
  <c r="M643" i="4"/>
  <c r="M642" i="4"/>
  <c r="M639" i="4"/>
  <c r="M635" i="4"/>
  <c r="M634" i="4"/>
  <c r="M633" i="4"/>
  <c r="M632" i="4"/>
  <c r="M631" i="4"/>
  <c r="M629" i="4"/>
  <c r="M624" i="4"/>
  <c r="M623" i="4"/>
  <c r="M622" i="4"/>
  <c r="M621" i="4"/>
  <c r="M619" i="4"/>
  <c r="M618" i="4"/>
  <c r="M613" i="4"/>
  <c r="M609" i="4"/>
  <c r="M608" i="4"/>
  <c r="M607" i="4"/>
  <c r="M606" i="4"/>
  <c r="M603" i="4"/>
  <c r="M602" i="4"/>
  <c r="M601" i="4"/>
  <c r="M600" i="4"/>
  <c r="M595" i="4"/>
  <c r="M594" i="4"/>
  <c r="M593" i="4"/>
  <c r="M592" i="4"/>
  <c r="M591" i="4"/>
  <c r="M587" i="4"/>
  <c r="M584" i="4"/>
  <c r="M582" i="4"/>
  <c r="M580" i="4"/>
  <c r="M578" i="4"/>
  <c r="M576" i="4"/>
  <c r="M575" i="4"/>
  <c r="M574" i="4"/>
  <c r="M572" i="4"/>
  <c r="M571" i="4"/>
  <c r="M569" i="4"/>
  <c r="M568" i="4"/>
  <c r="M566" i="4"/>
  <c r="M565" i="4"/>
  <c r="M564" i="4"/>
  <c r="M563" i="4"/>
  <c r="M560" i="4"/>
  <c r="M559" i="4"/>
  <c r="M558" i="4"/>
  <c r="M556" i="4"/>
  <c r="M555" i="4"/>
  <c r="M554" i="4"/>
  <c r="M553" i="4"/>
  <c r="M552" i="4"/>
  <c r="M549" i="4"/>
  <c r="M548" i="4"/>
  <c r="M547" i="4"/>
  <c r="M546" i="4"/>
  <c r="M544" i="4"/>
  <c r="M543" i="4"/>
  <c r="M542" i="4"/>
  <c r="M541" i="4"/>
  <c r="M538" i="4"/>
  <c r="M537" i="4"/>
  <c r="M534" i="4"/>
  <c r="M533" i="4"/>
  <c r="M532" i="4"/>
  <c r="M531" i="4"/>
  <c r="M530" i="4"/>
  <c r="M529" i="4"/>
  <c r="M528" i="4"/>
  <c r="M527" i="4"/>
  <c r="M525" i="4"/>
  <c r="M521" i="4"/>
  <c r="M520" i="4"/>
  <c r="M519" i="4"/>
  <c r="M518" i="4"/>
  <c r="M517" i="4"/>
  <c r="M516" i="4"/>
  <c r="M514" i="4"/>
  <c r="M511" i="4"/>
  <c r="M509" i="4"/>
  <c r="M508" i="4"/>
  <c r="M507" i="4"/>
  <c r="M506" i="4"/>
  <c r="M504" i="4"/>
  <c r="M500" i="4"/>
  <c r="M499" i="4"/>
  <c r="M498" i="4"/>
  <c r="M497" i="4"/>
  <c r="M496" i="4"/>
  <c r="M495" i="4"/>
  <c r="M491" i="4"/>
  <c r="M490" i="4"/>
  <c r="M489" i="4"/>
  <c r="M488" i="4"/>
  <c r="M487" i="4"/>
  <c r="M485" i="4"/>
  <c r="M483" i="4"/>
  <c r="M479" i="4"/>
  <c r="M471" i="4"/>
  <c r="M470" i="4"/>
  <c r="M469" i="4"/>
  <c r="M468" i="4"/>
  <c r="M467" i="4"/>
  <c r="M465" i="4"/>
  <c r="M464" i="4"/>
  <c r="M463" i="4"/>
  <c r="M462" i="4"/>
  <c r="M461" i="4"/>
  <c r="M458" i="4"/>
  <c r="M457" i="4"/>
  <c r="M455" i="4"/>
  <c r="M454" i="4"/>
  <c r="M452" i="4"/>
  <c r="M451" i="4"/>
  <c r="M449" i="4"/>
  <c r="M448" i="4"/>
  <c r="M446" i="4"/>
  <c r="M445" i="4"/>
  <c r="M443" i="4"/>
  <c r="M442" i="4"/>
  <c r="M439" i="4"/>
  <c r="M438" i="4"/>
  <c r="M435" i="4"/>
  <c r="M434" i="4"/>
  <c r="M432" i="4"/>
  <c r="M431" i="4"/>
  <c r="M429" i="4"/>
  <c r="M427" i="4"/>
  <c r="M426" i="4"/>
  <c r="M423" i="4"/>
  <c r="M422" i="4"/>
  <c r="M419" i="4"/>
  <c r="M418" i="4"/>
  <c r="M417" i="4"/>
  <c r="M416" i="4"/>
  <c r="M414" i="4"/>
  <c r="M413" i="4"/>
  <c r="M410" i="4"/>
  <c r="M409" i="4"/>
  <c r="M406" i="4"/>
  <c r="M405" i="4"/>
  <c r="M404" i="4"/>
  <c r="M402" i="4"/>
  <c r="M401" i="4"/>
  <c r="M400" i="4"/>
  <c r="M399" i="4"/>
  <c r="M397" i="4"/>
  <c r="M396" i="4"/>
  <c r="M395" i="4"/>
  <c r="M394" i="4"/>
  <c r="M393" i="4"/>
  <c r="M392" i="4"/>
  <c r="M385" i="4"/>
  <c r="M384" i="4"/>
  <c r="M383" i="4"/>
  <c r="M382" i="4"/>
  <c r="M381" i="4"/>
  <c r="M379" i="4"/>
  <c r="M378" i="4"/>
  <c r="M374" i="4"/>
  <c r="M373" i="4"/>
  <c r="M372" i="4"/>
  <c r="M371" i="4"/>
  <c r="M370" i="4"/>
  <c r="M369" i="4"/>
  <c r="M368" i="4"/>
  <c r="M367" i="4"/>
  <c r="M366" i="4"/>
  <c r="M363" i="4"/>
  <c r="M362" i="4"/>
  <c r="M360" i="4"/>
  <c r="M359" i="4"/>
  <c r="M358" i="4"/>
  <c r="M356" i="4"/>
  <c r="M354" i="4"/>
  <c r="M353" i="4"/>
  <c r="M352" i="4"/>
  <c r="M350" i="4"/>
  <c r="M349" i="4"/>
  <c r="M348" i="4"/>
  <c r="M347" i="4"/>
  <c r="M346" i="4"/>
  <c r="M345" i="4"/>
  <c r="M343" i="4"/>
  <c r="M341" i="4"/>
  <c r="M340" i="4"/>
  <c r="M338" i="4"/>
  <c r="M335" i="4"/>
  <c r="M334" i="4"/>
  <c r="M333" i="4"/>
  <c r="M332" i="4"/>
  <c r="M331" i="4"/>
  <c r="M330" i="4"/>
  <c r="M328" i="4"/>
  <c r="M327" i="4"/>
  <c r="M326" i="4"/>
  <c r="M325" i="4"/>
  <c r="M323" i="4"/>
  <c r="M321" i="4"/>
  <c r="M320" i="4"/>
  <c r="M317" i="4"/>
  <c r="M316" i="4"/>
  <c r="M313" i="4"/>
  <c r="M312" i="4"/>
  <c r="M310" i="4"/>
  <c r="M309" i="4"/>
  <c r="M306" i="4"/>
  <c r="M302" i="4"/>
  <c r="M298" i="4"/>
  <c r="M290" i="4"/>
  <c r="M288" i="4"/>
  <c r="M284" i="4"/>
  <c r="M283" i="4"/>
  <c r="M281" i="4"/>
  <c r="M280" i="4"/>
  <c r="M278" i="4"/>
  <c r="M276" i="4"/>
  <c r="M273" i="4"/>
  <c r="M271" i="4"/>
  <c r="M265" i="4"/>
  <c r="M263" i="4"/>
  <c r="M258" i="4"/>
  <c r="M256" i="4"/>
  <c r="M255" i="4"/>
  <c r="M253" i="4"/>
  <c r="M252" i="4"/>
  <c r="M251" i="4"/>
  <c r="M248" i="4"/>
  <c r="M246" i="4"/>
  <c r="M245" i="4"/>
  <c r="M242" i="4"/>
  <c r="M241" i="4"/>
  <c r="M238" i="4"/>
  <c r="M237" i="4"/>
  <c r="M235" i="4"/>
  <c r="M234" i="4"/>
  <c r="M231" i="4"/>
  <c r="M230" i="4"/>
  <c r="M227" i="4"/>
  <c r="M225" i="4"/>
  <c r="M224" i="4"/>
  <c r="M223" i="4"/>
  <c r="M222" i="4"/>
  <c r="M221" i="4"/>
  <c r="M220" i="4"/>
  <c r="M219" i="4"/>
  <c r="M216" i="4"/>
  <c r="M215" i="4"/>
  <c r="M214" i="4"/>
  <c r="M213" i="4"/>
  <c r="M212" i="4"/>
  <c r="M211" i="4"/>
  <c r="M210" i="4"/>
  <c r="M209" i="4"/>
  <c r="M208" i="4"/>
  <c r="M207" i="4"/>
  <c r="M205" i="4"/>
  <c r="M203" i="4"/>
  <c r="M202" i="4"/>
  <c r="M201" i="4"/>
  <c r="M200" i="4"/>
  <c r="M199" i="4"/>
  <c r="M198" i="4"/>
  <c r="M197" i="4"/>
  <c r="M195" i="4"/>
  <c r="M194" i="4"/>
  <c r="M193" i="4"/>
  <c r="M192" i="4"/>
  <c r="M191" i="4"/>
  <c r="M190" i="4"/>
  <c r="M189" i="4"/>
  <c r="M188" i="4"/>
  <c r="M186" i="4"/>
  <c r="M185" i="4"/>
  <c r="M183" i="4"/>
  <c r="M182" i="4"/>
  <c r="M179" i="4"/>
  <c r="M175" i="4"/>
  <c r="M173" i="4"/>
  <c r="M172" i="4"/>
  <c r="M169" i="4"/>
  <c r="M168" i="4"/>
  <c r="M165" i="4"/>
  <c r="M163" i="4"/>
  <c r="M162" i="4"/>
  <c r="M159" i="4"/>
  <c r="M158" i="4"/>
  <c r="M155" i="4"/>
  <c r="M153" i="4"/>
  <c r="M152" i="4"/>
  <c r="M150" i="4"/>
  <c r="M149" i="4"/>
  <c r="M148" i="4"/>
  <c r="M144" i="4"/>
  <c r="M142" i="4"/>
  <c r="M141" i="4"/>
  <c r="M140" i="4"/>
  <c r="M139" i="4"/>
  <c r="M138" i="4"/>
  <c r="M137" i="4"/>
  <c r="M136" i="4"/>
  <c r="M134" i="4"/>
  <c r="M132" i="4"/>
  <c r="M131" i="4"/>
  <c r="M128" i="4"/>
  <c r="M127" i="4"/>
  <c r="M124" i="4"/>
  <c r="M122" i="4"/>
  <c r="M121" i="4"/>
  <c r="M118" i="4"/>
  <c r="M117" i="4"/>
  <c r="M114" i="4"/>
  <c r="M112" i="4"/>
  <c r="M111" i="4"/>
  <c r="M108" i="4"/>
  <c r="M107" i="4"/>
  <c r="M101" i="4"/>
  <c r="M100" i="4"/>
  <c r="M99" i="4"/>
  <c r="M96" i="4"/>
  <c r="M95" i="4"/>
  <c r="M94" i="4"/>
  <c r="M104" i="4"/>
  <c r="M92" i="4"/>
  <c r="M89" i="4"/>
  <c r="M86" i="4"/>
  <c r="M85" i="4"/>
  <c r="M84" i="4"/>
  <c r="M82" i="4"/>
  <c r="M81" i="4"/>
  <c r="M79" i="4"/>
  <c r="M77" i="4"/>
  <c r="M73" i="4"/>
  <c r="M71" i="4"/>
  <c r="M70" i="4"/>
  <c r="M67" i="4"/>
  <c r="M65" i="4"/>
  <c r="M61" i="4"/>
  <c r="M60" i="4"/>
  <c r="M57" i="4"/>
  <c r="M56" i="4"/>
  <c r="M55" i="4"/>
  <c r="M54" i="4"/>
  <c r="M53" i="4"/>
  <c r="M52" i="4"/>
  <c r="M51" i="4"/>
  <c r="M50" i="4"/>
  <c r="M49" i="4"/>
  <c r="M48" i="4"/>
  <c r="M47" i="4"/>
  <c r="M45" i="4"/>
  <c r="M44" i="4"/>
  <c r="M41" i="4"/>
  <c r="M40" i="4"/>
  <c r="M38" i="4"/>
  <c r="M37" i="4"/>
  <c r="M36" i="4"/>
  <c r="M35" i="4"/>
  <c r="M34" i="4"/>
  <c r="M33" i="4"/>
  <c r="M32" i="4"/>
  <c r="M31" i="4"/>
  <c r="M29" i="4"/>
  <c r="M28" i="4"/>
  <c r="M24" i="4"/>
  <c r="M23" i="4"/>
  <c r="M22" i="4"/>
  <c r="M20" i="4"/>
  <c r="M19" i="4"/>
  <c r="M18" i="4"/>
  <c r="M17" i="4"/>
  <c r="M16" i="4"/>
  <c r="M15" i="4"/>
  <c r="M14" i="4"/>
  <c r="M13" i="4"/>
  <c r="M12" i="4"/>
  <c r="M11" i="4"/>
  <c r="M10" i="4"/>
  <c r="M8" i="4"/>
  <c r="M7" i="4"/>
  <c r="M6" i="4"/>
  <c r="M5" i="4"/>
  <c r="M4" i="4"/>
  <c r="M2" i="4"/>
  <c r="F1001" i="7" l="1"/>
  <c r="F999" i="7"/>
  <c r="F996" i="7"/>
  <c r="F995" i="7"/>
  <c r="F994" i="7"/>
  <c r="F990" i="7"/>
  <c r="F986" i="7"/>
  <c r="F985" i="7"/>
  <c r="F984" i="7"/>
  <c r="F983" i="7"/>
  <c r="F981" i="7"/>
  <c r="F980" i="7"/>
  <c r="F979" i="7"/>
  <c r="F978" i="7"/>
  <c r="F977" i="7"/>
  <c r="F976" i="7"/>
  <c r="F975" i="7"/>
  <c r="F974" i="7"/>
  <c r="F969" i="7"/>
  <c r="F968" i="7"/>
  <c r="F967" i="7"/>
  <c r="F966" i="7"/>
  <c r="F965" i="7"/>
  <c r="F964" i="7"/>
  <c r="F963" i="7"/>
  <c r="F962" i="7"/>
  <c r="F961" i="7"/>
  <c r="F960" i="7"/>
  <c r="F959" i="7"/>
  <c r="F958" i="7"/>
  <c r="F957" i="7"/>
  <c r="F956" i="7"/>
  <c r="F955" i="7"/>
  <c r="F954" i="7"/>
  <c r="F944" i="7"/>
  <c r="F943" i="7"/>
  <c r="F942" i="7"/>
  <c r="F939" i="7"/>
  <c r="F937" i="7"/>
  <c r="F932" i="7"/>
  <c r="F931" i="7"/>
  <c r="F927" i="7"/>
  <c r="F924" i="7"/>
  <c r="F920" i="7"/>
  <c r="H1001" i="7" l="1"/>
  <c r="H1011" i="7"/>
  <c r="H1009" i="7"/>
  <c r="F907" i="7"/>
  <c r="F914" i="7"/>
  <c r="F913" i="7"/>
  <c r="F904" i="7"/>
  <c r="F903" i="7"/>
  <c r="F899" i="7"/>
  <c r="F898" i="7"/>
  <c r="F894" i="7"/>
  <c r="F893" i="7"/>
  <c r="F892" i="7"/>
  <c r="F891" i="7"/>
  <c r="F888" i="7"/>
  <c r="F887" i="7"/>
  <c r="F886" i="7"/>
  <c r="F885" i="7"/>
  <c r="F884" i="7"/>
  <c r="F883" i="7"/>
  <c r="F882" i="7"/>
  <c r="F881" i="7"/>
  <c r="F879" i="7"/>
  <c r="F878" i="7"/>
  <c r="F877" i="7"/>
  <c r="F875" i="7"/>
  <c r="F874" i="7"/>
  <c r="F869" i="7"/>
  <c r="F868" i="7"/>
  <c r="F863" i="7"/>
  <c r="F862" i="7"/>
  <c r="F861" i="7"/>
  <c r="F860" i="7"/>
  <c r="F858" i="7"/>
  <c r="F854" i="7"/>
  <c r="F853" i="7"/>
  <c r="F849" i="7"/>
  <c r="F847" i="7"/>
  <c r="F846" i="7"/>
  <c r="F845" i="7"/>
  <c r="F844" i="7"/>
  <c r="F840" i="7"/>
  <c r="F839" i="7"/>
  <c r="F838" i="7"/>
  <c r="F837" i="7"/>
  <c r="F836" i="7"/>
  <c r="F832" i="7"/>
  <c r="F831" i="7"/>
  <c r="F830" i="7"/>
  <c r="F829" i="7"/>
  <c r="F828" i="7"/>
  <c r="F824" i="7"/>
  <c r="F822" i="7"/>
  <c r="F821" i="7"/>
  <c r="F820" i="7"/>
  <c r="F819" i="7"/>
  <c r="F815" i="7"/>
  <c r="F813" i="7"/>
  <c r="F810" i="7"/>
  <c r="F809" i="7"/>
  <c r="F808" i="7"/>
  <c r="F798" i="7"/>
  <c r="F797" i="7"/>
  <c r="F796" i="7"/>
  <c r="F795" i="7"/>
  <c r="F792" i="7"/>
  <c r="F791" i="7"/>
  <c r="F790" i="7"/>
  <c r="F786" i="7"/>
  <c r="F787" i="7"/>
  <c r="F778" i="7"/>
  <c r="F763" i="7"/>
  <c r="F762" i="7"/>
  <c r="F725" i="7"/>
  <c r="F687" i="7"/>
  <c r="F688" i="7"/>
  <c r="F4" i="7"/>
  <c r="F789" i="7" l="1"/>
  <c r="F788" i="7"/>
  <c r="F785" i="7"/>
  <c r="F783" i="7"/>
  <c r="F784" i="7"/>
  <c r="F782" i="7"/>
  <c r="F781" i="7"/>
  <c r="F779" i="7"/>
  <c r="F780" i="7"/>
  <c r="F777" i="7"/>
  <c r="F776" i="7"/>
  <c r="F775" i="7"/>
  <c r="F774" i="7"/>
  <c r="F773" i="7"/>
  <c r="F772" i="7"/>
  <c r="F771" i="7"/>
  <c r="F770" i="7"/>
  <c r="F769" i="7"/>
  <c r="F768" i="7"/>
  <c r="F767" i="7"/>
  <c r="F766" i="7"/>
  <c r="F765" i="7"/>
  <c r="F764" i="7"/>
  <c r="F761" i="7"/>
  <c r="F760" i="7"/>
  <c r="F759" i="7"/>
  <c r="F758" i="7"/>
  <c r="F757" i="7"/>
  <c r="F756" i="7"/>
  <c r="F755" i="7"/>
  <c r="F754" i="7"/>
  <c r="F753" i="7"/>
  <c r="F752" i="7"/>
  <c r="F751" i="7"/>
  <c r="F750" i="7"/>
  <c r="F749" i="7"/>
  <c r="F748" i="7"/>
  <c r="F747" i="7"/>
  <c r="F746" i="7"/>
  <c r="F744" i="7"/>
  <c r="F743" i="7"/>
  <c r="F742" i="7"/>
  <c r="F741" i="7"/>
  <c r="F740" i="7"/>
  <c r="F739" i="7"/>
  <c r="F738" i="7"/>
  <c r="F737" i="7"/>
  <c r="F736" i="7"/>
  <c r="F735" i="7"/>
  <c r="F734" i="7"/>
  <c r="F733" i="7"/>
  <c r="F732" i="7"/>
  <c r="F731" i="7"/>
  <c r="F730" i="7"/>
  <c r="F729" i="7"/>
  <c r="F727" i="7"/>
  <c r="F726" i="7"/>
  <c r="F724" i="7"/>
  <c r="F723" i="7"/>
  <c r="F721" i="7"/>
  <c r="F720" i="7"/>
  <c r="F719" i="7"/>
  <c r="F718" i="7"/>
  <c r="F717" i="7"/>
  <c r="F716" i="7"/>
  <c r="F715" i="7"/>
  <c r="F714" i="7"/>
  <c r="F713" i="7"/>
  <c r="F712" i="7"/>
  <c r="F711" i="7"/>
  <c r="F710" i="7"/>
  <c r="F722" i="7"/>
  <c r="F709" i="7"/>
  <c r="F708" i="7"/>
  <c r="F707" i="7"/>
  <c r="F706" i="7"/>
  <c r="F705" i="7"/>
  <c r="F704" i="7"/>
  <c r="F703" i="7"/>
  <c r="F702" i="7"/>
  <c r="F701" i="7"/>
  <c r="F700" i="7"/>
  <c r="F699" i="7"/>
  <c r="F698" i="7"/>
  <c r="F697" i="7"/>
  <c r="F696" i="7"/>
  <c r="F695" i="7"/>
  <c r="F694" i="7"/>
  <c r="F692" i="7"/>
  <c r="F693" i="7"/>
  <c r="F691" i="7"/>
  <c r="F690" i="7"/>
  <c r="H690" i="7" s="1"/>
  <c r="F686" i="7"/>
  <c r="F685" i="7"/>
  <c r="F684" i="7"/>
  <c r="F683" i="7"/>
  <c r="F682" i="7"/>
  <c r="F680" i="7"/>
  <c r="F679" i="7"/>
  <c r="F678" i="7"/>
  <c r="F677" i="7"/>
  <c r="F676" i="7"/>
  <c r="F675" i="7"/>
  <c r="F674" i="7"/>
  <c r="F673" i="7"/>
  <c r="F671" i="7"/>
  <c r="F670" i="7"/>
  <c r="F667" i="7"/>
  <c r="F666" i="7"/>
  <c r="F665" i="7"/>
  <c r="F664" i="7"/>
  <c r="F663" i="7"/>
  <c r="F662" i="7"/>
  <c r="F661" i="7"/>
  <c r="F660" i="7"/>
  <c r="F659" i="7"/>
  <c r="F658" i="7"/>
  <c r="F657" i="7"/>
  <c r="F656" i="7"/>
  <c r="F654" i="7"/>
  <c r="F655" i="7"/>
  <c r="F653" i="7"/>
  <c r="F652" i="7"/>
  <c r="F651" i="7"/>
  <c r="F650" i="7"/>
  <c r="F649" i="7"/>
  <c r="F648" i="7"/>
  <c r="F647" i="7"/>
  <c r="F646" i="7"/>
  <c r="F645" i="7"/>
  <c r="F644" i="7"/>
  <c r="F643" i="7"/>
  <c r="F639" i="7"/>
  <c r="F637" i="7"/>
  <c r="F638" i="7"/>
  <c r="F636" i="7"/>
  <c r="F634" i="7"/>
  <c r="F635" i="7"/>
  <c r="F633" i="7"/>
  <c r="F631" i="7"/>
  <c r="F632" i="7"/>
  <c r="F630" i="7"/>
  <c r="F628" i="7"/>
  <c r="F629" i="7"/>
  <c r="F627" i="7"/>
  <c r="F625" i="7"/>
  <c r="F626" i="7"/>
  <c r="F624" i="7"/>
  <c r="F623" i="7"/>
  <c r="F622" i="7"/>
  <c r="F620" i="7"/>
  <c r="F619" i="7"/>
  <c r="F618" i="7"/>
  <c r="F617" i="7"/>
  <c r="F615" i="7"/>
  <c r="F614" i="7"/>
  <c r="F613" i="7"/>
  <c r="F612" i="7"/>
  <c r="F611" i="7"/>
  <c r="F610" i="7"/>
  <c r="F609" i="7"/>
  <c r="F608" i="7"/>
  <c r="F607" i="7"/>
  <c r="F606" i="7"/>
  <c r="F605" i="7"/>
  <c r="F604" i="7"/>
  <c r="F602" i="7"/>
  <c r="F601" i="7"/>
  <c r="F600" i="7"/>
  <c r="F599" i="7"/>
  <c r="F598" i="7"/>
  <c r="F597" i="7"/>
  <c r="F596" i="7"/>
  <c r="F595" i="7"/>
  <c r="F594" i="7"/>
  <c r="F593" i="7"/>
  <c r="F592" i="7"/>
  <c r="F591" i="7"/>
  <c r="F590" i="7"/>
  <c r="F589" i="7"/>
  <c r="F587" i="7"/>
  <c r="F586" i="7"/>
  <c r="F585" i="7"/>
  <c r="F584" i="7"/>
  <c r="F583" i="7"/>
  <c r="F575" i="7"/>
  <c r="F574" i="7"/>
  <c r="F572" i="7"/>
  <c r="F571" i="7"/>
  <c r="F569" i="7"/>
  <c r="F568" i="7"/>
  <c r="F566" i="7"/>
  <c r="F565" i="7"/>
  <c r="F564" i="7"/>
  <c r="F563" i="7"/>
  <c r="F560" i="7"/>
  <c r="F559" i="7"/>
  <c r="F558" i="7"/>
  <c r="F557" i="7"/>
  <c r="F556" i="7"/>
  <c r="F555" i="7"/>
  <c r="F554" i="7"/>
  <c r="F553" i="7"/>
  <c r="F552" i="7"/>
  <c r="F551" i="7"/>
  <c r="F550" i="7"/>
  <c r="F547" i="7"/>
  <c r="F545" i="7"/>
  <c r="F544" i="7"/>
  <c r="F541" i="7"/>
  <c r="F539" i="7"/>
  <c r="F538" i="7"/>
  <c r="F537" i="7"/>
  <c r="F536" i="7"/>
  <c r="F535" i="7"/>
  <c r="F534" i="7"/>
  <c r="F533" i="7"/>
  <c r="F531" i="7"/>
  <c r="F530" i="7"/>
  <c r="F529" i="7"/>
  <c r="F528" i="7"/>
  <c r="F527" i="7"/>
  <c r="F526" i="7"/>
  <c r="F525" i="7"/>
  <c r="F524" i="7"/>
  <c r="F523" i="7"/>
  <c r="F522" i="7"/>
  <c r="F521" i="7"/>
  <c r="F520" i="7"/>
  <c r="F519" i="7"/>
  <c r="F517" i="7"/>
  <c r="F516" i="7"/>
  <c r="F515" i="7"/>
  <c r="F514" i="7"/>
  <c r="F513" i="7"/>
  <c r="F511" i="7"/>
  <c r="F510" i="7"/>
  <c r="F509" i="7"/>
  <c r="F508" i="7"/>
  <c r="F506" i="7"/>
  <c r="F505" i="7"/>
  <c r="F504" i="7"/>
  <c r="F503" i="7"/>
  <c r="F502" i="7"/>
  <c r="F501" i="7"/>
  <c r="F500" i="7"/>
  <c r="F498" i="7"/>
  <c r="F497" i="7"/>
  <c r="F496" i="7"/>
  <c r="F495" i="7"/>
  <c r="F494" i="7"/>
  <c r="F493" i="7"/>
  <c r="F492" i="7"/>
  <c r="F491" i="7"/>
  <c r="F490" i="7"/>
  <c r="F489" i="7"/>
  <c r="F486" i="7"/>
  <c r="F485" i="7"/>
  <c r="F484" i="7"/>
  <c r="F483" i="7"/>
  <c r="F482" i="7"/>
  <c r="F481" i="7"/>
  <c r="F480" i="7"/>
  <c r="F479" i="7"/>
  <c r="F478" i="7"/>
  <c r="F477" i="7"/>
  <c r="F476" i="7"/>
  <c r="F474" i="7"/>
  <c r="F473" i="7"/>
  <c r="F472" i="7"/>
  <c r="F471" i="7"/>
  <c r="F470" i="7"/>
  <c r="F469" i="7"/>
  <c r="F468" i="7"/>
  <c r="F466" i="7"/>
  <c r="F465" i="7"/>
  <c r="F457" i="7"/>
  <c r="F456" i="7"/>
  <c r="F455" i="7"/>
  <c r="F454" i="7"/>
  <c r="F451" i="7"/>
  <c r="F450" i="7"/>
  <c r="F449" i="7"/>
  <c r="F448" i="7"/>
  <c r="F447" i="7"/>
  <c r="F446" i="7"/>
  <c r="F445" i="7"/>
  <c r="F444" i="7"/>
  <c r="F443" i="7"/>
  <c r="F442" i="7"/>
  <c r="F441" i="7"/>
  <c r="F440" i="7"/>
  <c r="F439" i="7"/>
  <c r="F438" i="7"/>
  <c r="F432" i="7"/>
  <c r="F431" i="7"/>
  <c r="F430" i="7"/>
  <c r="F429" i="7"/>
  <c r="F428" i="7"/>
  <c r="F427" i="7"/>
  <c r="F426" i="7"/>
  <c r="F425" i="7"/>
  <c r="F424" i="7"/>
  <c r="F423" i="7"/>
  <c r="F422" i="7"/>
  <c r="F421" i="7"/>
  <c r="F420" i="7"/>
  <c r="F419" i="7"/>
  <c r="F418" i="7"/>
  <c r="F417" i="7"/>
  <c r="F416" i="7"/>
  <c r="F415" i="7"/>
  <c r="F412" i="7"/>
  <c r="F411" i="7"/>
  <c r="F410" i="7"/>
  <c r="F409" i="7"/>
  <c r="F406" i="7"/>
  <c r="F404" i="7"/>
  <c r="F394" i="7"/>
  <c r="F393" i="7"/>
  <c r="F392" i="7"/>
  <c r="F391" i="7"/>
  <c r="F390" i="7"/>
  <c r="F389" i="7"/>
  <c r="F388" i="7"/>
  <c r="F386" i="7"/>
  <c r="F383" i="7"/>
  <c r="F381" i="7"/>
  <c r="F379" i="7"/>
  <c r="F377" i="7"/>
  <c r="F375" i="7"/>
  <c r="F373" i="7"/>
  <c r="F372" i="7"/>
  <c r="F371" i="7"/>
  <c r="F370" i="7"/>
  <c r="F369" i="7"/>
  <c r="F368" i="7"/>
  <c r="F367" i="7"/>
  <c r="F366" i="7"/>
  <c r="F364" i="7"/>
  <c r="F363" i="7"/>
  <c r="F361" i="7"/>
  <c r="F359" i="7"/>
  <c r="F358" i="7"/>
  <c r="F357" i="7"/>
  <c r="F356" i="7"/>
  <c r="F355" i="7"/>
  <c r="F354" i="7"/>
  <c r="F353" i="7"/>
  <c r="F350" i="7"/>
  <c r="F348" i="7"/>
  <c r="F347" i="7"/>
  <c r="F346" i="7"/>
  <c r="F345" i="7"/>
  <c r="F344" i="7"/>
  <c r="F343" i="7"/>
  <c r="F342" i="7"/>
  <c r="F341" i="7"/>
  <c r="F340" i="7"/>
  <c r="F339" i="7"/>
  <c r="F337" i="7"/>
  <c r="F336" i="7"/>
  <c r="F335" i="7"/>
  <c r="F334" i="7"/>
  <c r="F333" i="7"/>
  <c r="F331" i="7"/>
  <c r="F322" i="7"/>
  <c r="F321" i="7"/>
  <c r="F320" i="7"/>
  <c r="F318" i="7"/>
  <c r="F317" i="7"/>
  <c r="F313" i="7"/>
  <c r="F311" i="7"/>
  <c r="F310" i="7"/>
  <c r="F309" i="7"/>
  <c r="F308" i="7"/>
  <c r="F305" i="7"/>
  <c r="F304" i="7"/>
  <c r="F303" i="7"/>
  <c r="F302" i="7"/>
  <c r="F300" i="7"/>
  <c r="F299" i="7"/>
  <c r="F298" i="7"/>
  <c r="F297" i="7"/>
  <c r="F295" i="7"/>
  <c r="F294" i="7"/>
  <c r="F293" i="7"/>
  <c r="F292" i="7"/>
  <c r="F291" i="7"/>
  <c r="F289" i="7"/>
  <c r="F288" i="7"/>
  <c r="F287" i="7"/>
  <c r="F286" i="7"/>
  <c r="F285" i="7"/>
  <c r="F284" i="7"/>
  <c r="F283" i="7"/>
  <c r="F282" i="7"/>
  <c r="F281" i="7"/>
  <c r="F280" i="7"/>
  <c r="F279" i="7"/>
  <c r="F278" i="7"/>
  <c r="F277" i="7"/>
  <c r="F276" i="7"/>
  <c r="F274" i="7"/>
  <c r="F273" i="7"/>
  <c r="F272" i="7"/>
  <c r="F271" i="7"/>
  <c r="F270" i="7"/>
  <c r="F269" i="7"/>
  <c r="F268" i="7"/>
  <c r="F267" i="7"/>
  <c r="F265" i="7"/>
  <c r="F264" i="7"/>
  <c r="F263" i="7"/>
  <c r="F262" i="7"/>
  <c r="F261" i="7"/>
  <c r="F260" i="7"/>
  <c r="F259" i="7"/>
  <c r="F258" i="7"/>
  <c r="F254" i="7"/>
  <c r="F252" i="7"/>
  <c r="F250" i="7"/>
  <c r="F248" i="7"/>
  <c r="F246" i="7"/>
  <c r="F244" i="7"/>
  <c r="F242" i="7"/>
  <c r="F241" i="7"/>
  <c r="F239" i="7"/>
  <c r="F237" i="7"/>
  <c r="F235" i="7"/>
  <c r="F232" i="7"/>
  <c r="F230" i="7"/>
  <c r="F228" i="7"/>
  <c r="F226" i="7"/>
  <c r="F224" i="7"/>
  <c r="F222" i="7"/>
  <c r="F220" i="7"/>
  <c r="F217" i="7"/>
  <c r="F215" i="7"/>
  <c r="F214" i="7"/>
  <c r="F213" i="7"/>
  <c r="F212" i="7"/>
  <c r="F211" i="7"/>
  <c r="F210" i="7"/>
  <c r="F209" i="7"/>
  <c r="F208" i="7"/>
  <c r="F206" i="7"/>
  <c r="F205" i="7"/>
  <c r="F204" i="7"/>
  <c r="F203" i="7"/>
  <c r="F202" i="7"/>
  <c r="F201" i="7"/>
  <c r="F200" i="7"/>
  <c r="F199" i="7"/>
  <c r="F197" i="7"/>
  <c r="F196" i="7"/>
  <c r="F195" i="7"/>
  <c r="F194" i="7"/>
  <c r="F193" i="7"/>
  <c r="F192" i="7"/>
  <c r="F191" i="7"/>
  <c r="F190" i="7"/>
  <c r="F189" i="7"/>
  <c r="F188" i="7"/>
  <c r="F187" i="7"/>
  <c r="F186" i="7"/>
  <c r="F185" i="7"/>
  <c r="F184" i="7"/>
  <c r="F183" i="7"/>
  <c r="F182" i="7"/>
  <c r="F181" i="7"/>
  <c r="F180" i="7"/>
  <c r="F178" i="7"/>
  <c r="F177" i="7"/>
  <c r="F176" i="7"/>
  <c r="F175" i="7"/>
  <c r="F174" i="7"/>
  <c r="F173" i="7"/>
  <c r="F172" i="7"/>
  <c r="F171" i="7"/>
  <c r="F170" i="7"/>
  <c r="F169" i="7"/>
  <c r="F168" i="7"/>
  <c r="F167" i="7"/>
  <c r="F166" i="7"/>
  <c r="F165" i="7"/>
  <c r="F164" i="7"/>
  <c r="F163" i="7"/>
  <c r="F161" i="7"/>
  <c r="F160" i="7"/>
  <c r="F159" i="7"/>
  <c r="F158" i="7"/>
  <c r="F157" i="7"/>
  <c r="F156" i="7"/>
  <c r="F155" i="7"/>
  <c r="F154" i="7"/>
  <c r="F152" i="7"/>
  <c r="F151" i="7"/>
  <c r="F150" i="7"/>
  <c r="F149" i="7"/>
  <c r="F148" i="7"/>
  <c r="F147" i="7"/>
  <c r="F146" i="7"/>
  <c r="F145" i="7"/>
  <c r="F143" i="7"/>
  <c r="F142" i="7"/>
  <c r="F141" i="7"/>
  <c r="F140" i="7"/>
  <c r="F139" i="7"/>
  <c r="F138" i="7"/>
  <c r="F137" i="7"/>
  <c r="F136" i="7"/>
  <c r="F134" i="7"/>
  <c r="F133" i="7"/>
  <c r="F132" i="7"/>
  <c r="F131" i="7"/>
  <c r="F130" i="7"/>
  <c r="F129" i="7"/>
  <c r="F128" i="7"/>
  <c r="F127" i="7"/>
  <c r="F125" i="7"/>
  <c r="F124" i="7"/>
  <c r="F123" i="7"/>
  <c r="F122" i="7"/>
  <c r="F121" i="7"/>
  <c r="F120" i="7"/>
  <c r="F119" i="7"/>
  <c r="F118" i="7"/>
  <c r="F116" i="7"/>
  <c r="F115" i="7"/>
  <c r="F114" i="7"/>
  <c r="F113" i="7"/>
  <c r="F112" i="7"/>
  <c r="F111" i="7"/>
  <c r="F110" i="7"/>
  <c r="F109" i="7"/>
  <c r="F107" i="7"/>
  <c r="F106" i="7"/>
  <c r="F105" i="7"/>
  <c r="F104" i="7"/>
  <c r="F103" i="7"/>
  <c r="F102" i="7"/>
  <c r="F101" i="7"/>
  <c r="F100" i="7"/>
  <c r="F98" i="7"/>
  <c r="F97" i="7"/>
  <c r="F96" i="7"/>
  <c r="F95" i="7"/>
  <c r="F94" i="7"/>
  <c r="F93" i="7"/>
  <c r="F92" i="7"/>
  <c r="F91" i="7"/>
  <c r="F88" i="7"/>
  <c r="F87" i="7"/>
  <c r="F86" i="7"/>
  <c r="F85" i="7"/>
  <c r="F84" i="7"/>
  <c r="F83" i="7"/>
  <c r="F82" i="7"/>
  <c r="F81" i="7"/>
  <c r="F80" i="7"/>
  <c r="F79" i="7"/>
  <c r="F78" i="7"/>
  <c r="F77" i="7"/>
  <c r="F74" i="7"/>
  <c r="F73" i="7"/>
  <c r="F72" i="7"/>
  <c r="F71" i="7"/>
  <c r="F70" i="7"/>
  <c r="F69" i="7"/>
  <c r="F68" i="7"/>
  <c r="F67" i="7"/>
  <c r="F66" i="7"/>
  <c r="F65" i="7"/>
  <c r="F64" i="7"/>
  <c r="F62" i="7"/>
  <c r="F60" i="7"/>
  <c r="F59" i="7"/>
  <c r="F58" i="7"/>
  <c r="F57" i="7"/>
  <c r="F56" i="7"/>
  <c r="F54" i="7"/>
  <c r="F53" i="7"/>
  <c r="F52" i="7"/>
  <c r="F51" i="7"/>
  <c r="F50" i="7"/>
  <c r="F49" i="7"/>
  <c r="F48" i="7"/>
  <c r="F46" i="7"/>
  <c r="F45" i="7"/>
  <c r="F44" i="7"/>
  <c r="F43" i="7"/>
  <c r="F40" i="7"/>
  <c r="F37" i="7"/>
  <c r="F36" i="7"/>
  <c r="F34" i="7"/>
  <c r="F33" i="7"/>
  <c r="F32" i="7"/>
  <c r="F31" i="7"/>
  <c r="F30" i="7"/>
  <c r="F29" i="7"/>
  <c r="F28" i="7"/>
  <c r="F27" i="7"/>
  <c r="F25" i="7"/>
  <c r="F20" i="7"/>
  <c r="F19" i="7"/>
  <c r="F17" i="7"/>
  <c r="F16" i="7"/>
  <c r="F13" i="7"/>
  <c r="F12" i="7"/>
  <c r="F11" i="7"/>
  <c r="F10" i="7"/>
  <c r="F8" i="7"/>
  <c r="F5" i="7"/>
  <c r="F7" i="7"/>
  <c r="F6" i="7"/>
  <c r="H781" i="7" l="1"/>
  <c r="H734" i="7"/>
  <c r="H769" i="7"/>
  <c r="H52" i="7"/>
  <c r="H786" i="7"/>
  <c r="H777" i="7"/>
  <c r="H724" i="7"/>
  <c r="L64" i="4"/>
  <c r="L75" i="4" s="1"/>
  <c r="BJ36" i="5"/>
  <c r="F191" i="5"/>
  <c r="F196" i="5" s="1"/>
  <c r="F132" i="5"/>
  <c r="F128" i="5"/>
  <c r="F88" i="5"/>
  <c r="F87" i="5"/>
  <c r="F54" i="5"/>
  <c r="L374" i="4"/>
  <c r="L369" i="4"/>
  <c r="L361" i="4"/>
  <c r="L355" i="4"/>
  <c r="N398" i="4"/>
  <c r="N849" i="4"/>
  <c r="N610" i="4"/>
  <c r="B34" i="2"/>
  <c r="B40" i="3" s="1"/>
  <c r="B37" i="2"/>
  <c r="B36" i="3" s="1"/>
  <c r="B36" i="2"/>
  <c r="B35" i="3" s="1"/>
  <c r="B35" i="2"/>
  <c r="B34" i="3" s="1"/>
  <c r="B33" i="2"/>
  <c r="B33" i="3" s="1"/>
  <c r="B32" i="2"/>
  <c r="B32" i="3" s="1"/>
  <c r="B31" i="2"/>
  <c r="B31" i="3" s="1"/>
  <c r="C36" i="2"/>
  <c r="C34" i="2"/>
  <c r="C33" i="2"/>
  <c r="C32" i="2"/>
  <c r="D31" i="2"/>
  <c r="C31" i="2"/>
  <c r="L504" i="4"/>
  <c r="L535" i="4" s="1"/>
  <c r="L873" i="4"/>
  <c r="J58" i="5"/>
  <c r="N906" i="4"/>
  <c r="L900" i="4"/>
  <c r="L906" i="4" s="1"/>
  <c r="K906" i="4"/>
  <c r="J906" i="4"/>
  <c r="N673" i="4"/>
  <c r="N674" i="4"/>
  <c r="BJ69" i="5"/>
  <c r="BJ94" i="5"/>
  <c r="BJ93" i="5"/>
  <c r="J897" i="4"/>
  <c r="L897" i="4"/>
  <c r="J891" i="4"/>
  <c r="L886" i="4"/>
  <c r="BJ212" i="5"/>
  <c r="AK18" i="5"/>
  <c r="BD18" i="5"/>
  <c r="L885" i="4"/>
  <c r="L611" i="4"/>
  <c r="L625" i="4" s="1"/>
  <c r="L872" i="4"/>
  <c r="I906" i="4"/>
  <c r="N420" i="4"/>
  <c r="J420" i="4"/>
  <c r="I420" i="4"/>
  <c r="L555" i="4"/>
  <c r="L557" i="4" s="1"/>
  <c r="L126" i="4"/>
  <c r="L135" i="4" s="1"/>
  <c r="L558" i="4"/>
  <c r="L579" i="4" s="1"/>
  <c r="F381" i="6"/>
  <c r="C386" i="6"/>
  <c r="D386" i="6"/>
  <c r="E386" i="6"/>
  <c r="F386" i="6"/>
  <c r="H386" i="6"/>
  <c r="G386" i="6"/>
  <c r="H381" i="6"/>
  <c r="G381" i="6"/>
  <c r="E381" i="6"/>
  <c r="D381" i="6"/>
  <c r="D388" i="6" s="1"/>
  <c r="C381" i="6"/>
  <c r="J355" i="6"/>
  <c r="H355" i="6"/>
  <c r="F331" i="6"/>
  <c r="H327" i="6"/>
  <c r="F327" i="6"/>
  <c r="F324" i="6"/>
  <c r="F993" i="7"/>
  <c r="F317" i="6"/>
  <c r="F989" i="7"/>
  <c r="F987" i="7"/>
  <c r="H311" i="6"/>
  <c r="F311" i="6"/>
  <c r="F972" i="7"/>
  <c r="F971" i="7"/>
  <c r="H286" i="6"/>
  <c r="F286" i="6"/>
  <c r="F279" i="6"/>
  <c r="F953" i="7"/>
  <c r="F952" i="7"/>
  <c r="F951" i="7"/>
  <c r="F950" i="7"/>
  <c r="F949" i="7"/>
  <c r="H239" i="6"/>
  <c r="F239" i="6"/>
  <c r="F923" i="7"/>
  <c r="H209" i="6"/>
  <c r="F209" i="6"/>
  <c r="H191" i="6"/>
  <c r="F930" i="7"/>
  <c r="F929" i="7"/>
  <c r="F910" i="7"/>
  <c r="F909" i="7"/>
  <c r="F935" i="7"/>
  <c r="H166" i="6"/>
  <c r="F166" i="6"/>
  <c r="F902" i="7"/>
  <c r="F901" i="7"/>
  <c r="F149" i="6"/>
  <c r="F897" i="7"/>
  <c r="F141" i="6"/>
  <c r="F890" i="7"/>
  <c r="F872" i="7"/>
  <c r="F871" i="7"/>
  <c r="F867" i="7"/>
  <c r="F866" i="7"/>
  <c r="F857" i="7"/>
  <c r="F95" i="6"/>
  <c r="F852" i="7"/>
  <c r="F851" i="7"/>
  <c r="F78" i="6"/>
  <c r="F843" i="7"/>
  <c r="F68" i="6"/>
  <c r="F835" i="7"/>
  <c r="F834" i="7"/>
  <c r="F58" i="6"/>
  <c r="F827" i="7"/>
  <c r="F48" i="6"/>
  <c r="F818" i="7"/>
  <c r="F817" i="7"/>
  <c r="F31" i="6"/>
  <c r="F33" i="6" s="1"/>
  <c r="F36" i="6" s="1"/>
  <c r="H29" i="6"/>
  <c r="H31" i="6" s="1"/>
  <c r="H33" i="6" s="1"/>
  <c r="N206" i="4"/>
  <c r="K206" i="4"/>
  <c r="J206" i="4"/>
  <c r="I206" i="4"/>
  <c r="N145" i="4"/>
  <c r="L145" i="4"/>
  <c r="K145" i="4"/>
  <c r="J145" i="4"/>
  <c r="I145" i="4"/>
  <c r="J844" i="4"/>
  <c r="N581" i="4"/>
  <c r="L581" i="4"/>
  <c r="K581" i="4"/>
  <c r="J581" i="4"/>
  <c r="N557" i="4"/>
  <c r="J557" i="4"/>
  <c r="J486" i="4"/>
  <c r="J62" i="4"/>
  <c r="L206" i="4"/>
  <c r="J665" i="4"/>
  <c r="L636" i="4"/>
  <c r="J636" i="4"/>
  <c r="J472" i="4"/>
  <c r="L757" i="4"/>
  <c r="L770" i="4" s="1"/>
  <c r="L167" i="4"/>
  <c r="L176" i="4" s="1"/>
  <c r="K731" i="4"/>
  <c r="M731" i="4" s="1"/>
  <c r="L665" i="4"/>
  <c r="L472" i="4"/>
  <c r="L421" i="4"/>
  <c r="L286" i="4"/>
  <c r="L303" i="4" s="1"/>
  <c r="L408" i="4"/>
  <c r="L420" i="4" s="1"/>
  <c r="L304" i="4"/>
  <c r="L314" i="4" s="1"/>
  <c r="L219" i="4"/>
  <c r="L188" i="4"/>
  <c r="L196" i="4" s="1"/>
  <c r="L177" i="4"/>
  <c r="L187" i="4" s="1"/>
  <c r="L147" i="4"/>
  <c r="K947" i="4"/>
  <c r="K945" i="4"/>
  <c r="M945" i="4" s="1"/>
  <c r="K939" i="4"/>
  <c r="M939" i="4" s="1"/>
  <c r="K813" i="4"/>
  <c r="M813" i="4" s="1"/>
  <c r="K783" i="4"/>
  <c r="M783" i="4" s="1"/>
  <c r="K782" i="4"/>
  <c r="M782" i="4" s="1"/>
  <c r="K779" i="4"/>
  <c r="M779" i="4" s="1"/>
  <c r="K778" i="4"/>
  <c r="M778" i="4" s="1"/>
  <c r="K772" i="4"/>
  <c r="M772" i="4" s="1"/>
  <c r="K767" i="4"/>
  <c r="M767" i="4" s="1"/>
  <c r="K694" i="4"/>
  <c r="K674" i="4"/>
  <c r="K640" i="4"/>
  <c r="M640" i="4" s="1"/>
  <c r="K626" i="4"/>
  <c r="M626" i="4" s="1"/>
  <c r="K599" i="4"/>
  <c r="M599" i="4" s="1"/>
  <c r="K598" i="4"/>
  <c r="M598" i="4" s="1"/>
  <c r="K590" i="4"/>
  <c r="M590" i="4" s="1"/>
  <c r="K589" i="4"/>
  <c r="M589" i="4" s="1"/>
  <c r="K540" i="4"/>
  <c r="M540" i="4" s="1"/>
  <c r="K515" i="4"/>
  <c r="M515" i="4" s="1"/>
  <c r="K510" i="4"/>
  <c r="M510" i="4" s="1"/>
  <c r="K441" i="4"/>
  <c r="M441" i="4" s="1"/>
  <c r="K411" i="4"/>
  <c r="M411" i="4" s="1"/>
  <c r="K319" i="4"/>
  <c r="M319" i="4" s="1"/>
  <c r="K308" i="4"/>
  <c r="M308" i="4" s="1"/>
  <c r="K254" i="4"/>
  <c r="M254" i="4" s="1"/>
  <c r="K243" i="4"/>
  <c r="M243" i="4" s="1"/>
  <c r="K232" i="4"/>
  <c r="M232" i="4" s="1"/>
  <c r="K229" i="4"/>
  <c r="M229" i="4" s="1"/>
  <c r="K171" i="4"/>
  <c r="M171" i="4" s="1"/>
  <c r="K160" i="4"/>
  <c r="M160" i="4" s="1"/>
  <c r="K130" i="4"/>
  <c r="M130" i="4" s="1"/>
  <c r="K120" i="4"/>
  <c r="M120" i="4" s="1"/>
  <c r="K110" i="4"/>
  <c r="M110" i="4" s="1"/>
  <c r="K106" i="4"/>
  <c r="M106" i="4" s="1"/>
  <c r="K98" i="4"/>
  <c r="M98" i="4" s="1"/>
  <c r="K97" i="4"/>
  <c r="M97" i="4" s="1"/>
  <c r="K83" i="4"/>
  <c r="M83" i="4" s="1"/>
  <c r="K76" i="4"/>
  <c r="M76" i="4" s="1"/>
  <c r="K68" i="4"/>
  <c r="M68" i="4" s="1"/>
  <c r="K64" i="4"/>
  <c r="K1032" i="4"/>
  <c r="K1033" i="4" s="1"/>
  <c r="K1028" i="4"/>
  <c r="K1022" i="4"/>
  <c r="K1020" i="4"/>
  <c r="K1017" i="4"/>
  <c r="K1010" i="4"/>
  <c r="K1004" i="4"/>
  <c r="K1000" i="4"/>
  <c r="K994" i="4"/>
  <c r="K992" i="4"/>
  <c r="K995" i="4" s="1"/>
  <c r="K987" i="4"/>
  <c r="K985" i="4"/>
  <c r="K979" i="4"/>
  <c r="K967" i="4"/>
  <c r="K968" i="4" s="1"/>
  <c r="K944" i="4"/>
  <c r="M944" i="4" s="1"/>
  <c r="K942" i="4"/>
  <c r="M942" i="4" s="1"/>
  <c r="K937" i="4"/>
  <c r="M937" i="4" s="1"/>
  <c r="K934" i="4"/>
  <c r="K918" i="4"/>
  <c r="K916" i="4"/>
  <c r="K914" i="4"/>
  <c r="K912" i="4"/>
  <c r="K910" i="4"/>
  <c r="K908" i="4"/>
  <c r="K899" i="4"/>
  <c r="K897" i="4"/>
  <c r="K891" i="4"/>
  <c r="K871" i="4"/>
  <c r="K860" i="4"/>
  <c r="K851" i="4"/>
  <c r="K849" i="4"/>
  <c r="K847" i="4"/>
  <c r="K844" i="4"/>
  <c r="K842" i="4"/>
  <c r="K840" i="4"/>
  <c r="K816" i="4"/>
  <c r="M816" i="4" s="1"/>
  <c r="K815" i="4"/>
  <c r="M815" i="4" s="1"/>
  <c r="K812" i="4"/>
  <c r="M812" i="4" s="1"/>
  <c r="K808" i="4"/>
  <c r="M808" i="4" s="1"/>
  <c r="K807" i="4"/>
  <c r="M807" i="4" s="1"/>
  <c r="K781" i="4"/>
  <c r="M781" i="4" s="1"/>
  <c r="K780" i="4"/>
  <c r="M780" i="4" s="1"/>
  <c r="K774" i="4"/>
  <c r="M774" i="4" s="1"/>
  <c r="K773" i="4"/>
  <c r="M773" i="4" s="1"/>
  <c r="K760" i="4"/>
  <c r="M760" i="4" s="1"/>
  <c r="K759" i="4"/>
  <c r="M759" i="4" s="1"/>
  <c r="K757" i="4"/>
  <c r="M757" i="4" s="1"/>
  <c r="K738" i="4"/>
  <c r="M738" i="4" s="1"/>
  <c r="K735" i="4"/>
  <c r="M735" i="4" s="1"/>
  <c r="K726" i="4"/>
  <c r="M726" i="4" s="1"/>
  <c r="K723" i="4"/>
  <c r="K705" i="4"/>
  <c r="M705" i="4" s="1"/>
  <c r="K673" i="4"/>
  <c r="K670" i="4"/>
  <c r="M670" i="4" s="1"/>
  <c r="K669" i="4"/>
  <c r="K667" i="4"/>
  <c r="K665" i="4"/>
  <c r="K641" i="4"/>
  <c r="M641" i="4" s="1"/>
  <c r="K637" i="4"/>
  <c r="M637" i="4" s="1"/>
  <c r="K628" i="4"/>
  <c r="M628" i="4" s="1"/>
  <c r="K627" i="4"/>
  <c r="M627" i="4" s="1"/>
  <c r="K616" i="4"/>
  <c r="M616" i="4" s="1"/>
  <c r="K614" i="4"/>
  <c r="M614" i="4" s="1"/>
  <c r="K611" i="4"/>
  <c r="M611" i="4" s="1"/>
  <c r="K597" i="4"/>
  <c r="M597" i="4" s="1"/>
  <c r="K596" i="4"/>
  <c r="M596" i="4" s="1"/>
  <c r="K588" i="4"/>
  <c r="K585" i="4"/>
  <c r="K583" i="4"/>
  <c r="K579" i="4"/>
  <c r="K545" i="4"/>
  <c r="M545" i="4" s="1"/>
  <c r="K539" i="4"/>
  <c r="K513" i="4"/>
  <c r="M513" i="4" s="1"/>
  <c r="K512" i="4"/>
  <c r="M512" i="4" s="1"/>
  <c r="K505" i="4"/>
  <c r="M505" i="4" s="1"/>
  <c r="K503" i="4"/>
  <c r="K486" i="4"/>
  <c r="K472" i="4"/>
  <c r="K466" i="4"/>
  <c r="K440" i="4"/>
  <c r="M440" i="4" s="1"/>
  <c r="K437" i="4"/>
  <c r="M437" i="4" s="1"/>
  <c r="K425" i="4"/>
  <c r="M425" i="4" s="1"/>
  <c r="K424" i="4"/>
  <c r="M424" i="4" s="1"/>
  <c r="K421" i="4"/>
  <c r="M421" i="4" s="1"/>
  <c r="K412" i="4"/>
  <c r="M412" i="4" s="1"/>
  <c r="K408" i="4"/>
  <c r="K407" i="4"/>
  <c r="K342" i="4"/>
  <c r="M342" i="4" s="1"/>
  <c r="K355" i="4"/>
  <c r="M355" i="4" s="1"/>
  <c r="K361" i="4"/>
  <c r="M361" i="4" s="1"/>
  <c r="K339" i="4"/>
  <c r="K336" i="4"/>
  <c r="K318" i="4"/>
  <c r="M318" i="4" s="1"/>
  <c r="K315" i="4"/>
  <c r="M315" i="4" s="1"/>
  <c r="K307" i="4"/>
  <c r="K305" i="4"/>
  <c r="M305" i="4" s="1"/>
  <c r="K304" i="4"/>
  <c r="M304" i="4" s="1"/>
  <c r="K294" i="4"/>
  <c r="M294" i="4" s="1"/>
  <c r="K292" i="4"/>
  <c r="M292" i="4" s="1"/>
  <c r="K286" i="4"/>
  <c r="M286" i="4" s="1"/>
  <c r="K269" i="4"/>
  <c r="M269" i="4" s="1"/>
  <c r="K267" i="4"/>
  <c r="M267" i="4" s="1"/>
  <c r="K261" i="4"/>
  <c r="K250" i="4"/>
  <c r="M250" i="4" s="1"/>
  <c r="K244" i="4"/>
  <c r="M244" i="4" s="1"/>
  <c r="K240" i="4"/>
  <c r="M240" i="4" s="1"/>
  <c r="K233" i="4"/>
  <c r="M233" i="4" s="1"/>
  <c r="K228" i="4"/>
  <c r="K217" i="4"/>
  <c r="K196" i="4"/>
  <c r="K181" i="4"/>
  <c r="M181" i="4" s="1"/>
  <c r="K180" i="4"/>
  <c r="M180" i="4" s="1"/>
  <c r="K178" i="4"/>
  <c r="M178" i="4" s="1"/>
  <c r="K177" i="4"/>
  <c r="M177" i="4" s="1"/>
  <c r="K170" i="4"/>
  <c r="M170" i="4" s="1"/>
  <c r="K167" i="4"/>
  <c r="M167" i="4" s="1"/>
  <c r="K161" i="4"/>
  <c r="M161" i="4" s="1"/>
  <c r="K157" i="4"/>
  <c r="M157" i="4" s="1"/>
  <c r="K151" i="4"/>
  <c r="M151" i="4" s="1"/>
  <c r="K147" i="4"/>
  <c r="M147" i="4" s="1"/>
  <c r="K129" i="4"/>
  <c r="M129" i="4" s="1"/>
  <c r="K126" i="4"/>
  <c r="M126" i="4" s="1"/>
  <c r="K119" i="4"/>
  <c r="M119" i="4" s="1"/>
  <c r="K116" i="4"/>
  <c r="M116" i="4" s="1"/>
  <c r="K109" i="4"/>
  <c r="M109" i="4" s="1"/>
  <c r="K93" i="4"/>
  <c r="M93" i="4" s="1"/>
  <c r="K91" i="4"/>
  <c r="M91" i="4" s="1"/>
  <c r="K80" i="4"/>
  <c r="M80" i="4" s="1"/>
  <c r="K78" i="4"/>
  <c r="M78" i="4" s="1"/>
  <c r="K69" i="4"/>
  <c r="M69" i="4" s="1"/>
  <c r="I1033" i="4"/>
  <c r="I1032" i="4"/>
  <c r="I1028" i="4"/>
  <c r="I1022" i="4"/>
  <c r="I1020" i="4"/>
  <c r="I1017" i="4"/>
  <c r="I1010" i="4"/>
  <c r="I1004" i="4"/>
  <c r="I1000" i="4"/>
  <c r="I994" i="4"/>
  <c r="I992" i="4"/>
  <c r="I995" i="4" s="1"/>
  <c r="I987" i="4"/>
  <c r="I985" i="4"/>
  <c r="I988" i="4" s="1"/>
  <c r="I979" i="4"/>
  <c r="I968" i="4"/>
  <c r="I967" i="4"/>
  <c r="I964" i="4"/>
  <c r="I965" i="4" s="1"/>
  <c r="I969" i="4" s="1"/>
  <c r="I934" i="4"/>
  <c r="I918" i="4"/>
  <c r="I915" i="4"/>
  <c r="I916" i="4" s="1"/>
  <c r="I914" i="4"/>
  <c r="I912" i="4"/>
  <c r="I910" i="4"/>
  <c r="I908" i="4"/>
  <c r="I899" i="4"/>
  <c r="I897" i="4"/>
  <c r="I891" i="4"/>
  <c r="I871" i="4"/>
  <c r="I860" i="4"/>
  <c r="I851" i="4"/>
  <c r="I849" i="4"/>
  <c r="I847" i="4"/>
  <c r="I844" i="4"/>
  <c r="I842" i="4"/>
  <c r="I840" i="4"/>
  <c r="I833" i="4"/>
  <c r="I806" i="4"/>
  <c r="I771" i="4"/>
  <c r="I770" i="4"/>
  <c r="I755" i="4"/>
  <c r="I722" i="4"/>
  <c r="I693" i="4"/>
  <c r="I669" i="4"/>
  <c r="I667" i="4"/>
  <c r="I665" i="4"/>
  <c r="I653" i="4"/>
  <c r="I636" i="4"/>
  <c r="I625" i="4"/>
  <c r="I610" i="4"/>
  <c r="I588" i="4"/>
  <c r="I585" i="4"/>
  <c r="I583" i="4"/>
  <c r="I581" i="4"/>
  <c r="I579" i="4"/>
  <c r="I557" i="4"/>
  <c r="I539" i="4"/>
  <c r="I535" i="4"/>
  <c r="I486" i="4"/>
  <c r="I472" i="4"/>
  <c r="I466" i="4"/>
  <c r="I447" i="4"/>
  <c r="I436" i="4"/>
  <c r="I407" i="4"/>
  <c r="I398" i="4"/>
  <c r="I339" i="4"/>
  <c r="I336" i="4"/>
  <c r="I324" i="4"/>
  <c r="I314" i="4"/>
  <c r="I303" i="4"/>
  <c r="I259" i="4"/>
  <c r="I249" i="4"/>
  <c r="I239" i="4"/>
  <c r="I228" i="4"/>
  <c r="I217" i="4"/>
  <c r="I196" i="4"/>
  <c r="I187" i="4"/>
  <c r="I176" i="4"/>
  <c r="I166" i="4"/>
  <c r="I156" i="4"/>
  <c r="I135" i="4"/>
  <c r="I125" i="4"/>
  <c r="I115" i="4"/>
  <c r="I105" i="4"/>
  <c r="I90" i="4"/>
  <c r="K30" i="4"/>
  <c r="I62" i="4"/>
  <c r="AC10" i="5"/>
  <c r="AC18" i="5" s="1"/>
  <c r="N947" i="4"/>
  <c r="N150" i="5" s="1"/>
  <c r="BJ150" i="5" s="1"/>
  <c r="N503" i="4"/>
  <c r="D81" i="5" s="1"/>
  <c r="N324" i="4"/>
  <c r="N259" i="4"/>
  <c r="N249" i="4"/>
  <c r="N239" i="4"/>
  <c r="AC201" i="5"/>
  <c r="N16" i="5"/>
  <c r="N14" i="5"/>
  <c r="J34" i="5"/>
  <c r="J33" i="5"/>
  <c r="J57" i="5"/>
  <c r="J46" i="5"/>
  <c r="J45" i="5"/>
  <c r="BJ50" i="5"/>
  <c r="D122" i="5"/>
  <c r="BJ122" i="5" s="1"/>
  <c r="D110" i="5"/>
  <c r="D108" i="5"/>
  <c r="BJ108" i="5" s="1"/>
  <c r="D106" i="5"/>
  <c r="D99" i="5"/>
  <c r="BJ99" i="5" s="1"/>
  <c r="D95" i="5"/>
  <c r="BJ95" i="5" s="1"/>
  <c r="D87" i="5"/>
  <c r="D86" i="5"/>
  <c r="D76" i="5"/>
  <c r="BJ76" i="5" s="1"/>
  <c r="BJ74" i="5"/>
  <c r="D63" i="5"/>
  <c r="BJ63" i="5" s="1"/>
  <c r="L486" i="4"/>
  <c r="N486" i="4"/>
  <c r="D14" i="5"/>
  <c r="D134" i="5"/>
  <c r="BJ134" i="5" s="1"/>
  <c r="N1004" i="4"/>
  <c r="L1004" i="4"/>
  <c r="J1004" i="4"/>
  <c r="J1000" i="4"/>
  <c r="L1000" i="4"/>
  <c r="N1000" i="4"/>
  <c r="M1005" i="4"/>
  <c r="N665" i="4"/>
  <c r="N897" i="4"/>
  <c r="N472" i="4"/>
  <c r="N585" i="4"/>
  <c r="L447" i="4"/>
  <c r="J625" i="4"/>
  <c r="J38" i="5"/>
  <c r="N871" i="4"/>
  <c r="L871" i="4"/>
  <c r="J871" i="4"/>
  <c r="D109" i="5"/>
  <c r="D107" i="5"/>
  <c r="D100" i="5"/>
  <c r="BJ100" i="5" s="1"/>
  <c r="D98" i="5"/>
  <c r="BJ98" i="5" s="1"/>
  <c r="D75" i="5"/>
  <c r="BJ75" i="5" s="1"/>
  <c r="L62" i="4"/>
  <c r="D121" i="5"/>
  <c r="D119" i="5"/>
  <c r="N154" i="5"/>
  <c r="C35" i="2"/>
  <c r="J585" i="4"/>
  <c r="L585" i="4"/>
  <c r="J916" i="4"/>
  <c r="L539" i="4"/>
  <c r="J539" i="4"/>
  <c r="J770" i="4"/>
  <c r="J771" i="4"/>
  <c r="N583" i="4"/>
  <c r="L583" i="4"/>
  <c r="J583" i="4"/>
  <c r="L1020" i="4"/>
  <c r="J1020" i="4"/>
  <c r="J755" i="4"/>
  <c r="L693" i="4"/>
  <c r="J693" i="4"/>
  <c r="L844" i="4"/>
  <c r="J806" i="4"/>
  <c r="L806" i="4"/>
  <c r="L407" i="4"/>
  <c r="J407" i="4"/>
  <c r="L992" i="4"/>
  <c r="L995" i="4" s="1"/>
  <c r="L755" i="4"/>
  <c r="F102" i="5"/>
  <c r="BJ192" i="5"/>
  <c r="BJ152" i="5"/>
  <c r="BJ136" i="5"/>
  <c r="BJ124" i="5"/>
  <c r="BJ112" i="5"/>
  <c r="BJ101" i="5"/>
  <c r="BJ96" i="5"/>
  <c r="BD90" i="5"/>
  <c r="BJ89" i="5"/>
  <c r="BJ84" i="5"/>
  <c r="BJ77" i="5"/>
  <c r="BJ65" i="5"/>
  <c r="BJ60" i="5"/>
  <c r="BJ53" i="5"/>
  <c r="BJ48" i="5"/>
  <c r="BD54" i="5"/>
  <c r="BD66" i="5"/>
  <c r="BD78" i="5"/>
  <c r="BD113" i="5"/>
  <c r="BD102" i="5"/>
  <c r="BD137" i="5"/>
  <c r="BD125" i="5"/>
  <c r="BD42" i="5"/>
  <c r="AK137" i="5"/>
  <c r="AK125" i="5"/>
  <c r="AK113" i="5"/>
  <c r="AK102" i="5"/>
  <c r="AK90" i="5"/>
  <c r="AK78" i="5"/>
  <c r="AK66" i="5"/>
  <c r="AK54" i="5"/>
  <c r="AG137" i="5"/>
  <c r="AG125" i="5"/>
  <c r="AG113" i="5"/>
  <c r="AG102" i="5"/>
  <c r="AG90" i="5"/>
  <c r="AG78" i="5"/>
  <c r="AG66" i="5"/>
  <c r="AG54" i="5"/>
  <c r="AC213" i="5"/>
  <c r="AC217" i="5" s="1"/>
  <c r="AC205" i="5"/>
  <c r="BJ205" i="5" s="1"/>
  <c r="AC204" i="5"/>
  <c r="BJ204" i="5" s="1"/>
  <c r="AC137" i="5"/>
  <c r="AC125" i="5"/>
  <c r="AC113" i="5"/>
  <c r="AC102" i="5"/>
  <c r="AC90" i="5"/>
  <c r="AC78" i="5"/>
  <c r="AC66" i="5"/>
  <c r="AC54" i="5"/>
  <c r="AC7" i="5"/>
  <c r="N213" i="5"/>
  <c r="N217" i="5" s="1"/>
  <c r="N155" i="5"/>
  <c r="BJ155" i="5" s="1"/>
  <c r="N153" i="5"/>
  <c r="BJ153" i="5" s="1"/>
  <c r="N151" i="5"/>
  <c r="N137" i="5"/>
  <c r="N125" i="5"/>
  <c r="N113" i="5"/>
  <c r="N102" i="5"/>
  <c r="N90" i="5"/>
  <c r="N78" i="5"/>
  <c r="N66" i="5"/>
  <c r="N54" i="5"/>
  <c r="N23" i="5"/>
  <c r="J213" i="5"/>
  <c r="J217" i="5" s="1"/>
  <c r="J194" i="5"/>
  <c r="J196" i="5" s="1"/>
  <c r="J151" i="5"/>
  <c r="J130" i="5"/>
  <c r="J137" i="5" s="1"/>
  <c r="J125" i="5"/>
  <c r="J106" i="5"/>
  <c r="J113" i="5" s="1"/>
  <c r="J102" i="5"/>
  <c r="J90" i="5"/>
  <c r="J71" i="5"/>
  <c r="J78" i="5" s="1"/>
  <c r="J61" i="5"/>
  <c r="J47" i="5"/>
  <c r="J39" i="5"/>
  <c r="J23" i="5"/>
  <c r="J16" i="5"/>
  <c r="J10" i="5"/>
  <c r="J7" i="5"/>
  <c r="BJ49" i="5"/>
  <c r="D215" i="5"/>
  <c r="BJ215" i="5" s="1"/>
  <c r="D213" i="5"/>
  <c r="D154" i="5"/>
  <c r="D157" i="5" s="1"/>
  <c r="D133" i="5"/>
  <c r="BJ133" i="5" s="1"/>
  <c r="BJ131" i="5"/>
  <c r="D130" i="5"/>
  <c r="BJ120" i="5"/>
  <c r="D118" i="5"/>
  <c r="BJ118" i="5" s="1"/>
  <c r="D88" i="5"/>
  <c r="D85" i="5"/>
  <c r="BJ72" i="5"/>
  <c r="BJ64" i="5"/>
  <c r="BJ62" i="5"/>
  <c r="BJ40" i="5"/>
  <c r="D25" i="5"/>
  <c r="D23" i="5"/>
  <c r="D16" i="5"/>
  <c r="D12" i="5"/>
  <c r="BJ12" i="5" s="1"/>
  <c r="D10" i="5"/>
  <c r="D7" i="5"/>
  <c r="BJ221" i="5"/>
  <c r="BH217" i="5"/>
  <c r="BF217" i="5"/>
  <c r="BD217" i="5"/>
  <c r="BB217" i="5"/>
  <c r="AZ217" i="5"/>
  <c r="AX217" i="5"/>
  <c r="AV217" i="5"/>
  <c r="AS217" i="5"/>
  <c r="AQ217" i="5"/>
  <c r="AO217" i="5"/>
  <c r="AM217" i="5"/>
  <c r="AI217" i="5"/>
  <c r="AG217" i="5"/>
  <c r="AE217" i="5"/>
  <c r="AA217" i="5"/>
  <c r="X217" i="5"/>
  <c r="V217" i="5"/>
  <c r="T217" i="5"/>
  <c r="R217" i="5"/>
  <c r="P217" i="5"/>
  <c r="L217" i="5"/>
  <c r="H217" i="5"/>
  <c r="BJ216" i="5"/>
  <c r="BJ214" i="5"/>
  <c r="BJ211" i="5"/>
  <c r="BH206" i="5"/>
  <c r="BF206" i="5"/>
  <c r="BD206" i="5"/>
  <c r="BB206" i="5"/>
  <c r="AZ206" i="5"/>
  <c r="AX206" i="5"/>
  <c r="AV206" i="5"/>
  <c r="AS206" i="5"/>
  <c r="AQ206" i="5"/>
  <c r="AO206" i="5"/>
  <c r="AM206" i="5"/>
  <c r="AK206" i="5"/>
  <c r="AI206" i="5"/>
  <c r="AG206" i="5"/>
  <c r="AE206" i="5"/>
  <c r="AA206" i="5"/>
  <c r="X206" i="5"/>
  <c r="V206" i="5"/>
  <c r="T206" i="5"/>
  <c r="R206" i="5"/>
  <c r="P206" i="5"/>
  <c r="N206" i="5"/>
  <c r="L206" i="5"/>
  <c r="J206" i="5"/>
  <c r="H206" i="5"/>
  <c r="F206" i="5"/>
  <c r="D206" i="5"/>
  <c r="BH196" i="5"/>
  <c r="BF196" i="5"/>
  <c r="BD196" i="5"/>
  <c r="BB196" i="5"/>
  <c r="AZ196" i="5"/>
  <c r="AX196" i="5"/>
  <c r="AV196" i="5"/>
  <c r="AS196" i="5"/>
  <c r="AQ196" i="5"/>
  <c r="AO196" i="5"/>
  <c r="AM196" i="5"/>
  <c r="AK196" i="5"/>
  <c r="AI196" i="5"/>
  <c r="AG196" i="5"/>
  <c r="AE196" i="5"/>
  <c r="AC196" i="5"/>
  <c r="AA196" i="5"/>
  <c r="X196" i="5"/>
  <c r="V196" i="5"/>
  <c r="T196" i="5"/>
  <c r="R196" i="5"/>
  <c r="P196" i="5"/>
  <c r="N196" i="5"/>
  <c r="L196" i="5"/>
  <c r="H196" i="5"/>
  <c r="D196" i="5"/>
  <c r="BJ195" i="5"/>
  <c r="BJ193" i="5"/>
  <c r="BJ190" i="5"/>
  <c r="BJ189" i="5"/>
  <c r="BJ188" i="5"/>
  <c r="BH183" i="5"/>
  <c r="BF183" i="5"/>
  <c r="BD183" i="5"/>
  <c r="BB183" i="5"/>
  <c r="AZ183" i="5"/>
  <c r="AX183" i="5"/>
  <c r="AV183" i="5"/>
  <c r="AS183" i="5"/>
  <c r="AQ183" i="5"/>
  <c r="AO183" i="5"/>
  <c r="AM183" i="5"/>
  <c r="AK183" i="5"/>
  <c r="AI183" i="5"/>
  <c r="AG183" i="5"/>
  <c r="AE183" i="5"/>
  <c r="AC183" i="5"/>
  <c r="AA183" i="5"/>
  <c r="X183" i="5"/>
  <c r="V183" i="5"/>
  <c r="T183" i="5"/>
  <c r="R183" i="5"/>
  <c r="P183" i="5"/>
  <c r="N183" i="5"/>
  <c r="L183" i="5"/>
  <c r="J183" i="5"/>
  <c r="H183" i="5"/>
  <c r="F183" i="5"/>
  <c r="D183" i="5"/>
  <c r="BJ182" i="5"/>
  <c r="BJ181" i="5"/>
  <c r="BJ180" i="5"/>
  <c r="BJ179" i="5"/>
  <c r="BJ178" i="5"/>
  <c r="BJ177" i="5"/>
  <c r="BH174" i="5"/>
  <c r="BF174" i="5"/>
  <c r="BD174" i="5"/>
  <c r="BB174" i="5"/>
  <c r="AZ174" i="5"/>
  <c r="AX174" i="5"/>
  <c r="AV174" i="5"/>
  <c r="AS174" i="5"/>
  <c r="AQ174" i="5"/>
  <c r="AO174" i="5"/>
  <c r="AM174" i="5"/>
  <c r="AK174" i="5"/>
  <c r="AI174" i="5"/>
  <c r="AG174" i="5"/>
  <c r="AE174" i="5"/>
  <c r="AC174" i="5"/>
  <c r="AA174" i="5"/>
  <c r="X174" i="5"/>
  <c r="V174" i="5"/>
  <c r="T174" i="5"/>
  <c r="R174" i="5"/>
  <c r="P174" i="5"/>
  <c r="N174" i="5"/>
  <c r="L174" i="5"/>
  <c r="J174" i="5"/>
  <c r="H174" i="5"/>
  <c r="F174" i="5"/>
  <c r="D174" i="5"/>
  <c r="BJ173" i="5"/>
  <c r="BJ172" i="5"/>
  <c r="BJ171" i="5"/>
  <c r="BJ170" i="5"/>
  <c r="BJ169" i="5"/>
  <c r="BJ168" i="5"/>
  <c r="BH165" i="5"/>
  <c r="BF165" i="5"/>
  <c r="BD165" i="5"/>
  <c r="BB165" i="5"/>
  <c r="AZ165" i="5"/>
  <c r="AX165" i="5"/>
  <c r="AV165" i="5"/>
  <c r="AS165" i="5"/>
  <c r="AQ165" i="5"/>
  <c r="AO165" i="5"/>
  <c r="AM165" i="5"/>
  <c r="AK165" i="5"/>
  <c r="AI165" i="5"/>
  <c r="AG165" i="5"/>
  <c r="AE165" i="5"/>
  <c r="AC165" i="5"/>
  <c r="AA165" i="5"/>
  <c r="X165" i="5"/>
  <c r="V165" i="5"/>
  <c r="T165" i="5"/>
  <c r="R165" i="5"/>
  <c r="P165" i="5"/>
  <c r="N165" i="5"/>
  <c r="L165" i="5"/>
  <c r="J165" i="5"/>
  <c r="H165" i="5"/>
  <c r="F165" i="5"/>
  <c r="D165" i="5"/>
  <c r="BJ164" i="5"/>
  <c r="BJ163" i="5"/>
  <c r="BJ162" i="5"/>
  <c r="BJ161" i="5"/>
  <c r="BJ160" i="5"/>
  <c r="BJ159" i="5"/>
  <c r="BH157" i="5"/>
  <c r="BF157" i="5"/>
  <c r="BD157" i="5"/>
  <c r="BB157" i="5"/>
  <c r="AZ157" i="5"/>
  <c r="AX157" i="5"/>
  <c r="AV157" i="5"/>
  <c r="AS157" i="5"/>
  <c r="AQ157" i="5"/>
  <c r="AO157" i="5"/>
  <c r="AM157" i="5"/>
  <c r="AK157" i="5"/>
  <c r="AI157" i="5"/>
  <c r="AG157" i="5"/>
  <c r="AE157" i="5"/>
  <c r="AC157" i="5"/>
  <c r="AA157" i="5"/>
  <c r="X157" i="5"/>
  <c r="V157" i="5"/>
  <c r="T157" i="5"/>
  <c r="R157" i="5"/>
  <c r="P157" i="5"/>
  <c r="L157" i="5"/>
  <c r="H157" i="5"/>
  <c r="F157" i="5"/>
  <c r="BJ156" i="5"/>
  <c r="BH146" i="5"/>
  <c r="BF146" i="5"/>
  <c r="BD146" i="5"/>
  <c r="BB146" i="5"/>
  <c r="AZ146" i="5"/>
  <c r="AX146" i="5"/>
  <c r="AV146" i="5"/>
  <c r="AS146" i="5"/>
  <c r="AQ146" i="5"/>
  <c r="AO146" i="5"/>
  <c r="AM146" i="5"/>
  <c r="AK146" i="5"/>
  <c r="AI146" i="5"/>
  <c r="AG146" i="5"/>
  <c r="AE146" i="5"/>
  <c r="AC146" i="5"/>
  <c r="AA146" i="5"/>
  <c r="X146" i="5"/>
  <c r="V146" i="5"/>
  <c r="T146" i="5"/>
  <c r="R146" i="5"/>
  <c r="P146" i="5"/>
  <c r="N146" i="5"/>
  <c r="L146" i="5"/>
  <c r="J146" i="5"/>
  <c r="H146" i="5"/>
  <c r="F146" i="5"/>
  <c r="D146" i="5"/>
  <c r="BJ145" i="5"/>
  <c r="BJ144" i="5"/>
  <c r="BJ143" i="5"/>
  <c r="BJ142" i="5"/>
  <c r="BJ141" i="5"/>
  <c r="BJ140" i="5"/>
  <c r="BH137" i="5"/>
  <c r="BF137" i="5"/>
  <c r="BB137" i="5"/>
  <c r="AZ137" i="5"/>
  <c r="AX137" i="5"/>
  <c r="AV137" i="5"/>
  <c r="AS137" i="5"/>
  <c r="AQ137" i="5"/>
  <c r="AO137" i="5"/>
  <c r="AM137" i="5"/>
  <c r="AI137" i="5"/>
  <c r="AE137" i="5"/>
  <c r="AA137" i="5"/>
  <c r="X137" i="5"/>
  <c r="V137" i="5"/>
  <c r="T137" i="5"/>
  <c r="P137" i="5"/>
  <c r="L137" i="5"/>
  <c r="H137" i="5"/>
  <c r="BJ135" i="5"/>
  <c r="BH125" i="5"/>
  <c r="BF125" i="5"/>
  <c r="BB125" i="5"/>
  <c r="AZ125" i="5"/>
  <c r="AX125" i="5"/>
  <c r="AV125" i="5"/>
  <c r="AS125" i="5"/>
  <c r="AQ125" i="5"/>
  <c r="AO125" i="5"/>
  <c r="AM125" i="5"/>
  <c r="AI125" i="5"/>
  <c r="AE125" i="5"/>
  <c r="AA125" i="5"/>
  <c r="X125" i="5"/>
  <c r="V125" i="5"/>
  <c r="T125" i="5"/>
  <c r="P125" i="5"/>
  <c r="L125" i="5"/>
  <c r="H125" i="5"/>
  <c r="BJ123" i="5"/>
  <c r="BH113" i="5"/>
  <c r="BF113" i="5"/>
  <c r="BB113" i="5"/>
  <c r="AZ113" i="5"/>
  <c r="AX113" i="5"/>
  <c r="AV113" i="5"/>
  <c r="AS113" i="5"/>
  <c r="AQ113" i="5"/>
  <c r="AO113" i="5"/>
  <c r="AM113" i="5"/>
  <c r="AI113" i="5"/>
  <c r="AE113" i="5"/>
  <c r="AA113" i="5"/>
  <c r="X113" i="5"/>
  <c r="V113" i="5"/>
  <c r="T113" i="5"/>
  <c r="P113" i="5"/>
  <c r="L113" i="5"/>
  <c r="H113" i="5"/>
  <c r="BJ111" i="5"/>
  <c r="BH102" i="5"/>
  <c r="BF102" i="5"/>
  <c r="BB102" i="5"/>
  <c r="AZ102" i="5"/>
  <c r="AX102" i="5"/>
  <c r="AV102" i="5"/>
  <c r="AS102" i="5"/>
  <c r="AQ102" i="5"/>
  <c r="AO102" i="5"/>
  <c r="AM102" i="5"/>
  <c r="AI102" i="5"/>
  <c r="AE102" i="5"/>
  <c r="AA102" i="5"/>
  <c r="X102" i="5"/>
  <c r="V102" i="5"/>
  <c r="T102" i="5"/>
  <c r="P102" i="5"/>
  <c r="L102" i="5"/>
  <c r="H102" i="5"/>
  <c r="BH90" i="5"/>
  <c r="BF90" i="5"/>
  <c r="BB90" i="5"/>
  <c r="AZ90" i="5"/>
  <c r="AX90" i="5"/>
  <c r="AV90" i="5"/>
  <c r="AS90" i="5"/>
  <c r="AQ90" i="5"/>
  <c r="AO90" i="5"/>
  <c r="AM90" i="5"/>
  <c r="AI90" i="5"/>
  <c r="AE90" i="5"/>
  <c r="AA90" i="5"/>
  <c r="X90" i="5"/>
  <c r="V90" i="5"/>
  <c r="T90" i="5"/>
  <c r="P90" i="5"/>
  <c r="L90" i="5"/>
  <c r="H90" i="5"/>
  <c r="BH78" i="5"/>
  <c r="BF78" i="5"/>
  <c r="BB78" i="5"/>
  <c r="AZ78" i="5"/>
  <c r="AX78" i="5"/>
  <c r="AV78" i="5"/>
  <c r="AS78" i="5"/>
  <c r="AQ78" i="5"/>
  <c r="AO78" i="5"/>
  <c r="AM78" i="5"/>
  <c r="AI78" i="5"/>
  <c r="AE78" i="5"/>
  <c r="AA78" i="5"/>
  <c r="X78" i="5"/>
  <c r="V78" i="5"/>
  <c r="T78" i="5"/>
  <c r="P78" i="5"/>
  <c r="L78" i="5"/>
  <c r="H78" i="5"/>
  <c r="BH66" i="5"/>
  <c r="BF66" i="5"/>
  <c r="BB66" i="5"/>
  <c r="AZ66" i="5"/>
  <c r="AX66" i="5"/>
  <c r="AV66" i="5"/>
  <c r="AS66" i="5"/>
  <c r="AQ66" i="5"/>
  <c r="AO66" i="5"/>
  <c r="AM66" i="5"/>
  <c r="AI66" i="5"/>
  <c r="AE66" i="5"/>
  <c r="AA66" i="5"/>
  <c r="X66" i="5"/>
  <c r="V66" i="5"/>
  <c r="T66" i="5"/>
  <c r="P66" i="5"/>
  <c r="L66" i="5"/>
  <c r="H66" i="5"/>
  <c r="BH54" i="5"/>
  <c r="BF54" i="5"/>
  <c r="BB54" i="5"/>
  <c r="AZ54" i="5"/>
  <c r="AX54" i="5"/>
  <c r="AV54" i="5"/>
  <c r="AS54" i="5"/>
  <c r="AQ54" i="5"/>
  <c r="AO54" i="5"/>
  <c r="AM54" i="5"/>
  <c r="AI54" i="5"/>
  <c r="AE54" i="5"/>
  <c r="AA54" i="5"/>
  <c r="X54" i="5"/>
  <c r="V54" i="5"/>
  <c r="T54" i="5"/>
  <c r="P54" i="5"/>
  <c r="L54" i="5"/>
  <c r="H54" i="5"/>
  <c r="BJ52" i="5"/>
  <c r="BJ51" i="5"/>
  <c r="BH42" i="5"/>
  <c r="BF42" i="5"/>
  <c r="BB42" i="5"/>
  <c r="AZ42" i="5"/>
  <c r="AX42" i="5"/>
  <c r="AV42" i="5"/>
  <c r="AS42" i="5"/>
  <c r="AQ42" i="5"/>
  <c r="AO42" i="5"/>
  <c r="AM42" i="5"/>
  <c r="AK42" i="5"/>
  <c r="AI42" i="5"/>
  <c r="AG42" i="5"/>
  <c r="AE42" i="5"/>
  <c r="AC42" i="5"/>
  <c r="AA42" i="5"/>
  <c r="X42" i="5"/>
  <c r="V42" i="5"/>
  <c r="T42" i="5"/>
  <c r="R42" i="5"/>
  <c r="P42" i="5"/>
  <c r="N42" i="5"/>
  <c r="L42" i="5"/>
  <c r="H42" i="5"/>
  <c r="BJ27" i="5"/>
  <c r="BH18" i="5"/>
  <c r="BH21" i="5" s="1"/>
  <c r="BH29" i="5" s="1"/>
  <c r="BF18" i="5"/>
  <c r="BF21" i="5" s="1"/>
  <c r="BF29" i="5" s="1"/>
  <c r="BB18" i="5"/>
  <c r="BB21" i="5" s="1"/>
  <c r="BB29" i="5" s="1"/>
  <c r="AZ18" i="5"/>
  <c r="AZ21" i="5" s="1"/>
  <c r="AZ29" i="5" s="1"/>
  <c r="AX18" i="5"/>
  <c r="AX21" i="5" s="1"/>
  <c r="AX29" i="5" s="1"/>
  <c r="AV18" i="5"/>
  <c r="AV21" i="5" s="1"/>
  <c r="AV29" i="5" s="1"/>
  <c r="AS18" i="5"/>
  <c r="AS21" i="5" s="1"/>
  <c r="AS29" i="5" s="1"/>
  <c r="AQ18" i="5"/>
  <c r="AQ21" i="5" s="1"/>
  <c r="AQ29" i="5" s="1"/>
  <c r="AO18" i="5"/>
  <c r="AO21" i="5" s="1"/>
  <c r="AO29" i="5" s="1"/>
  <c r="AM18" i="5"/>
  <c r="AM21" i="5" s="1"/>
  <c r="AM29" i="5" s="1"/>
  <c r="AI18" i="5"/>
  <c r="AI21" i="5" s="1"/>
  <c r="AI29" i="5" s="1"/>
  <c r="AG18" i="5"/>
  <c r="AG21" i="5" s="1"/>
  <c r="AG29" i="5" s="1"/>
  <c r="AE18" i="5"/>
  <c r="AE21" i="5" s="1"/>
  <c r="AE29" i="5" s="1"/>
  <c r="AA18" i="5"/>
  <c r="AA21" i="5" s="1"/>
  <c r="AA29" i="5" s="1"/>
  <c r="X18" i="5"/>
  <c r="X21" i="5" s="1"/>
  <c r="X29" i="5" s="1"/>
  <c r="V18" i="5"/>
  <c r="V21" i="5" s="1"/>
  <c r="V29" i="5" s="1"/>
  <c r="T18" i="5"/>
  <c r="T21" i="5" s="1"/>
  <c r="T29" i="5" s="1"/>
  <c r="R18" i="5"/>
  <c r="R21" i="5" s="1"/>
  <c r="R29" i="5" s="1"/>
  <c r="P18" i="5"/>
  <c r="P21" i="5" s="1"/>
  <c r="P29" i="5" s="1"/>
  <c r="L18" i="5"/>
  <c r="L21" i="5" s="1"/>
  <c r="L29" i="5" s="1"/>
  <c r="H18" i="5"/>
  <c r="H21" i="5" s="1"/>
  <c r="H29" i="5" s="1"/>
  <c r="F18" i="5"/>
  <c r="F21" i="5" s="1"/>
  <c r="F29" i="5" s="1"/>
  <c r="N844" i="4"/>
  <c r="D21" i="3"/>
  <c r="N1010" i="4"/>
  <c r="L1010" i="4"/>
  <c r="J1010" i="4"/>
  <c r="N916" i="4"/>
  <c r="N407" i="4"/>
  <c r="L259" i="4"/>
  <c r="J259" i="4"/>
  <c r="N196" i="4"/>
  <c r="J196" i="4"/>
  <c r="N908" i="4"/>
  <c r="L908" i="4"/>
  <c r="J908" i="4"/>
  <c r="N912" i="4"/>
  <c r="L912" i="4"/>
  <c r="J912" i="4"/>
  <c r="L916" i="4"/>
  <c r="N891" i="4"/>
  <c r="N62" i="4"/>
  <c r="N1032" i="4"/>
  <c r="N1028" i="4"/>
  <c r="N1022" i="4"/>
  <c r="N1017" i="4"/>
  <c r="N994" i="4"/>
  <c r="N992" i="4"/>
  <c r="N995" i="4" s="1"/>
  <c r="N987" i="4"/>
  <c r="N985" i="4"/>
  <c r="N979" i="4"/>
  <c r="N967" i="4"/>
  <c r="N934" i="4"/>
  <c r="N918" i="4"/>
  <c r="N914" i="4"/>
  <c r="N910" i="4"/>
  <c r="N899" i="4"/>
  <c r="N860" i="4"/>
  <c r="N851" i="4"/>
  <c r="N847" i="4"/>
  <c r="N842" i="4"/>
  <c r="N840" i="4"/>
  <c r="N669" i="4"/>
  <c r="N667" i="4"/>
  <c r="N588" i="4"/>
  <c r="N579" i="4"/>
  <c r="N466" i="4"/>
  <c r="N339" i="4"/>
  <c r="N336" i="4"/>
  <c r="N314" i="4"/>
  <c r="N303" i="4"/>
  <c r="N228" i="4"/>
  <c r="N217" i="4"/>
  <c r="N187" i="4"/>
  <c r="N176" i="4"/>
  <c r="N166" i="4"/>
  <c r="N156" i="4"/>
  <c r="N125" i="4"/>
  <c r="N115" i="4"/>
  <c r="N105" i="4"/>
  <c r="N90" i="4"/>
  <c r="N135" i="4"/>
  <c r="E40" i="2"/>
  <c r="E39" i="2"/>
  <c r="L849" i="4"/>
  <c r="L985" i="4"/>
  <c r="L987" i="4"/>
  <c r="L964" i="4"/>
  <c r="L965" i="4" s="1"/>
  <c r="L899" i="4"/>
  <c r="L910" i="4"/>
  <c r="L914" i="4"/>
  <c r="L918" i="4"/>
  <c r="L90" i="4"/>
  <c r="L105" i="4"/>
  <c r="L115" i="4"/>
  <c r="L125" i="4"/>
  <c r="L166" i="4"/>
  <c r="L217" i="4"/>
  <c r="L239" i="4"/>
  <c r="L249" i="4"/>
  <c r="L324" i="4"/>
  <c r="L336" i="4"/>
  <c r="L339" i="4"/>
  <c r="L466" i="4"/>
  <c r="L588" i="4"/>
  <c r="L610" i="4"/>
  <c r="L667" i="4"/>
  <c r="L669" i="4"/>
  <c r="L833" i="4"/>
  <c r="L840" i="4"/>
  <c r="L842" i="4"/>
  <c r="L847" i="4"/>
  <c r="L1033" i="4"/>
  <c r="J1028" i="4"/>
  <c r="L1028" i="4"/>
  <c r="J1032" i="4"/>
  <c r="J1033" i="4"/>
  <c r="L1032" i="4"/>
  <c r="L1017" i="4"/>
  <c r="L1022" i="4"/>
  <c r="J1017" i="4"/>
  <c r="J1022" i="4"/>
  <c r="J985" i="4"/>
  <c r="J987" i="4"/>
  <c r="J992" i="4"/>
  <c r="J995" i="4" s="1"/>
  <c r="L994" i="4"/>
  <c r="J994" i="4"/>
  <c r="L979" i="4"/>
  <c r="J979" i="4"/>
  <c r="J964" i="4"/>
  <c r="L968" i="4"/>
  <c r="J968" i="4"/>
  <c r="L967" i="4"/>
  <c r="J967" i="4"/>
  <c r="L934" i="4"/>
  <c r="J934" i="4"/>
  <c r="J899" i="4"/>
  <c r="J910" i="4"/>
  <c r="J914" i="4"/>
  <c r="J918" i="4"/>
  <c r="L860" i="4"/>
  <c r="J860" i="4"/>
  <c r="J90" i="4"/>
  <c r="J105" i="4"/>
  <c r="J115" i="4"/>
  <c r="J125" i="4"/>
  <c r="J135" i="4"/>
  <c r="J156" i="4"/>
  <c r="J166" i="4"/>
  <c r="J176" i="4"/>
  <c r="J187" i="4"/>
  <c r="J217" i="4"/>
  <c r="J228" i="4"/>
  <c r="J239" i="4"/>
  <c r="J249" i="4"/>
  <c r="J303" i="4"/>
  <c r="J314" i="4"/>
  <c r="J324" i="4"/>
  <c r="J336" i="4"/>
  <c r="J339" i="4"/>
  <c r="J398" i="4"/>
  <c r="J436" i="4"/>
  <c r="J447" i="4"/>
  <c r="J466" i="4"/>
  <c r="J535" i="4"/>
  <c r="J579" i="4"/>
  <c r="J588" i="4"/>
  <c r="J610" i="4"/>
  <c r="J653" i="4"/>
  <c r="J667" i="4"/>
  <c r="J669" i="4"/>
  <c r="J833" i="4"/>
  <c r="J840" i="4"/>
  <c r="J842" i="4"/>
  <c r="J847" i="4"/>
  <c r="J849" i="4"/>
  <c r="L851" i="4"/>
  <c r="J851" i="4"/>
  <c r="N636" i="4"/>
  <c r="L653" i="4"/>
  <c r="N436" i="4"/>
  <c r="N447" i="4"/>
  <c r="N625" i="4"/>
  <c r="N653" i="4"/>
  <c r="BJ129" i="5"/>
  <c r="D104" i="5"/>
  <c r="N833" i="4"/>
  <c r="D116" i="5"/>
  <c r="N755" i="4"/>
  <c r="N806" i="4"/>
  <c r="N149" i="5"/>
  <c r="BJ149" i="5" s="1"/>
  <c r="N770" i="4"/>
  <c r="BJ105" i="5"/>
  <c r="L1034" i="4" l="1"/>
  <c r="C17" i="3" s="1"/>
  <c r="M842" i="4"/>
  <c r="M934" i="4"/>
  <c r="M472" i="4"/>
  <c r="M228" i="4"/>
  <c r="M1000" i="4"/>
  <c r="M897" i="4"/>
  <c r="D70" i="5"/>
  <c r="D78" i="5" s="1"/>
  <c r="F244" i="6"/>
  <c r="F336" i="6" s="1"/>
  <c r="H218" i="6"/>
  <c r="BJ104" i="5"/>
  <c r="BJ116" i="5"/>
  <c r="BJ119" i="5"/>
  <c r="BJ86" i="5"/>
  <c r="BJ191" i="5"/>
  <c r="F42" i="5"/>
  <c r="BJ107" i="5"/>
  <c r="BJ88" i="5"/>
  <c r="BJ121" i="5"/>
  <c r="BJ87" i="5"/>
  <c r="G388" i="6"/>
  <c r="F66" i="5"/>
  <c r="BJ128" i="5"/>
  <c r="H388" i="6"/>
  <c r="M261" i="4"/>
  <c r="K285" i="4"/>
  <c r="M285" i="4" s="1"/>
  <c r="M723" i="4"/>
  <c r="K730" i="4"/>
  <c r="M730" i="4" s="1"/>
  <c r="M1004" i="4"/>
  <c r="M64" i="4"/>
  <c r="K75" i="4"/>
  <c r="M75" i="4" s="1"/>
  <c r="F113" i="5"/>
  <c r="F137" i="5"/>
  <c r="H158" i="6"/>
  <c r="BJ132" i="5"/>
  <c r="C388" i="6"/>
  <c r="BJ59" i="5"/>
  <c r="BJ83" i="5"/>
  <c r="BJ37" i="5"/>
  <c r="M906" i="4"/>
  <c r="M995" i="4"/>
  <c r="BJ165" i="5"/>
  <c r="BJ183" i="5"/>
  <c r="H317" i="6"/>
  <c r="H185" i="5"/>
  <c r="H208" i="5" s="1"/>
  <c r="H219" i="5" s="1"/>
  <c r="H223" i="5" s="1"/>
  <c r="K852" i="4"/>
  <c r="K1023" i="4"/>
  <c r="H279" i="6"/>
  <c r="L185" i="5"/>
  <c r="L208" i="5" s="1"/>
  <c r="L219" i="5" s="1"/>
  <c r="L223" i="5" s="1"/>
  <c r="H133" i="6"/>
  <c r="K125" i="4"/>
  <c r="M125" i="4" s="1"/>
  <c r="M407" i="4"/>
  <c r="M985" i="4"/>
  <c r="J1011" i="4"/>
  <c r="L891" i="4"/>
  <c r="L919" i="4" s="1"/>
  <c r="L398" i="4"/>
  <c r="K324" i="4"/>
  <c r="M324" i="4" s="1"/>
  <c r="M588" i="4"/>
  <c r="M987" i="4"/>
  <c r="M1017" i="4"/>
  <c r="M196" i="4"/>
  <c r="M916" i="4"/>
  <c r="M1022" i="4"/>
  <c r="M585" i="4"/>
  <c r="M503" i="4"/>
  <c r="I586" i="4"/>
  <c r="I919" i="4"/>
  <c r="K135" i="4"/>
  <c r="M135" i="4" s="1"/>
  <c r="M667" i="4"/>
  <c r="M908" i="4"/>
  <c r="AS185" i="5"/>
  <c r="AS208" i="5" s="1"/>
  <c r="AS219" i="5" s="1"/>
  <c r="AS223" i="5" s="1"/>
  <c r="M539" i="4"/>
  <c r="M871" i="4"/>
  <c r="I920" i="4"/>
  <c r="I1011" i="4"/>
  <c r="M145" i="4"/>
  <c r="M206" i="4"/>
  <c r="M502" i="4"/>
  <c r="M914" i="4"/>
  <c r="M979" i="4"/>
  <c r="M844" i="4"/>
  <c r="BJ109" i="5"/>
  <c r="M665" i="4"/>
  <c r="I337" i="4"/>
  <c r="K1011" i="4"/>
  <c r="BB185" i="5"/>
  <c r="BB208" i="5" s="1"/>
  <c r="BB219" i="5" s="1"/>
  <c r="BB223" i="5" s="1"/>
  <c r="M694" i="4"/>
  <c r="K722" i="4"/>
  <c r="M722" i="4" s="1"/>
  <c r="N535" i="4"/>
  <c r="N536" i="4" s="1"/>
  <c r="J919" i="4"/>
  <c r="J1034" i="4"/>
  <c r="M339" i="4"/>
  <c r="M899" i="4"/>
  <c r="M1032" i="4"/>
  <c r="L1023" i="4"/>
  <c r="L1024" i="4" s="1"/>
  <c r="C12" i="3" s="1"/>
  <c r="H68" i="6"/>
  <c r="BJ194" i="5"/>
  <c r="K62" i="4"/>
  <c r="M62" i="4" s="1"/>
  <c r="M30" i="4"/>
  <c r="M849" i="4"/>
  <c r="N852" i="4"/>
  <c r="M847" i="4"/>
  <c r="M947" i="4"/>
  <c r="N845" i="4"/>
  <c r="L586" i="4"/>
  <c r="M910" i="4"/>
  <c r="N968" i="4"/>
  <c r="M968" i="4" s="1"/>
  <c r="M967" i="4"/>
  <c r="K259" i="4"/>
  <c r="M259" i="4" s="1"/>
  <c r="M669" i="4"/>
  <c r="M851" i="4"/>
  <c r="M992" i="4"/>
  <c r="M1010" i="4"/>
  <c r="L771" i="4"/>
  <c r="K314" i="4"/>
  <c r="M314" i="4" s="1"/>
  <c r="M307" i="4"/>
  <c r="M581" i="4"/>
  <c r="F543" i="7"/>
  <c r="M674" i="4"/>
  <c r="N146" i="4"/>
  <c r="K557" i="4"/>
  <c r="K586" i="4" s="1"/>
  <c r="K610" i="4"/>
  <c r="M610" i="4" s="1"/>
  <c r="N771" i="4"/>
  <c r="K636" i="4"/>
  <c r="M636" i="4" s="1"/>
  <c r="K187" i="4"/>
  <c r="M187" i="4" s="1"/>
  <c r="N693" i="4"/>
  <c r="N756" i="4" s="1"/>
  <c r="N1011" i="4"/>
  <c r="J852" i="4"/>
  <c r="M217" i="4"/>
  <c r="M579" i="4"/>
  <c r="M840" i="4"/>
  <c r="M860" i="4"/>
  <c r="M918" i="4"/>
  <c r="M994" i="4"/>
  <c r="M1028" i="4"/>
  <c r="M891" i="4"/>
  <c r="M912" i="4"/>
  <c r="M583" i="4"/>
  <c r="M1020" i="4"/>
  <c r="M494" i="4"/>
  <c r="M486" i="4"/>
  <c r="I852" i="4"/>
  <c r="K420" i="4"/>
  <c r="M420" i="4" s="1"/>
  <c r="M408" i="4"/>
  <c r="M673" i="4"/>
  <c r="BJ71" i="5"/>
  <c r="I756" i="4"/>
  <c r="L756" i="4"/>
  <c r="J18" i="5"/>
  <c r="J21" i="5" s="1"/>
  <c r="J29" i="5" s="1"/>
  <c r="AC21" i="5"/>
  <c r="AC29" i="5" s="1"/>
  <c r="BJ58" i="5"/>
  <c r="BJ45" i="5"/>
  <c r="BJ57" i="5"/>
  <c r="E36" i="2"/>
  <c r="BJ61" i="5"/>
  <c r="E32" i="2"/>
  <c r="E37" i="2"/>
  <c r="AK21" i="5"/>
  <c r="AK29" i="5" s="1"/>
  <c r="BJ35" i="5"/>
  <c r="BJ47" i="5"/>
  <c r="D125" i="5"/>
  <c r="BJ154" i="5"/>
  <c r="BJ14" i="5"/>
  <c r="BJ23" i="5"/>
  <c r="BJ7" i="5"/>
  <c r="BJ39" i="5"/>
  <c r="BJ16" i="5"/>
  <c r="BD21" i="5"/>
  <c r="BD29" i="5" s="1"/>
  <c r="AK217" i="5"/>
  <c r="E33" i="2"/>
  <c r="M466" i="4"/>
  <c r="E35" i="2"/>
  <c r="E31" i="2"/>
  <c r="E34" i="2"/>
  <c r="BJ33" i="5"/>
  <c r="BJ110" i="5"/>
  <c r="M336" i="4"/>
  <c r="J66" i="5"/>
  <c r="D66" i="5"/>
  <c r="D18" i="5"/>
  <c r="D21" i="5" s="1"/>
  <c r="D29" i="5" s="1"/>
  <c r="L845" i="4"/>
  <c r="J54" i="5"/>
  <c r="I996" i="4"/>
  <c r="I1023" i="4"/>
  <c r="I1024" i="4" s="1"/>
  <c r="K105" i="4"/>
  <c r="M105" i="4" s="1"/>
  <c r="K436" i="4"/>
  <c r="M436" i="4" s="1"/>
  <c r="K653" i="4"/>
  <c r="M653" i="4" s="1"/>
  <c r="K693" i="4"/>
  <c r="H141" i="6"/>
  <c r="H188" i="6"/>
  <c r="F936" i="7"/>
  <c r="F125" i="5"/>
  <c r="F988" i="7"/>
  <c r="J337" i="4"/>
  <c r="L988" i="4"/>
  <c r="L996" i="4" s="1"/>
  <c r="C10" i="3" s="1"/>
  <c r="BJ146" i="5"/>
  <c r="AI185" i="5"/>
  <c r="AI208" i="5" s="1"/>
  <c r="AI219" i="5" s="1"/>
  <c r="AI223" i="5" s="1"/>
  <c r="BH185" i="5"/>
  <c r="BH208" i="5" s="1"/>
  <c r="BH219" i="5" s="1"/>
  <c r="BH223" i="5" s="1"/>
  <c r="BJ106" i="5"/>
  <c r="I218" i="4"/>
  <c r="I536" i="4"/>
  <c r="I845" i="4"/>
  <c r="H248" i="6"/>
  <c r="F814" i="7"/>
  <c r="H814" i="7" s="1"/>
  <c r="H58" i="6"/>
  <c r="F826" i="7"/>
  <c r="H106" i="6"/>
  <c r="F856" i="7"/>
  <c r="H149" i="6"/>
  <c r="F896" i="7"/>
  <c r="E388" i="6"/>
  <c r="BJ196" i="5"/>
  <c r="AC185" i="5"/>
  <c r="K176" i="4"/>
  <c r="M176" i="4" s="1"/>
  <c r="H95" i="6"/>
  <c r="BJ82" i="5"/>
  <c r="F948" i="7"/>
  <c r="N157" i="5"/>
  <c r="N185" i="5" s="1"/>
  <c r="N208" i="5" s="1"/>
  <c r="N219" i="5" s="1"/>
  <c r="BD185" i="5"/>
  <c r="BD208" i="5" s="1"/>
  <c r="BD219" i="5" s="1"/>
  <c r="D217" i="5"/>
  <c r="BJ81" i="5"/>
  <c r="F414" i="7"/>
  <c r="N964" i="4"/>
  <c r="F745" i="7"/>
  <c r="H761" i="7" s="1"/>
  <c r="I146" i="4"/>
  <c r="I1034" i="4"/>
  <c r="H78" i="6"/>
  <c r="F842" i="7"/>
  <c r="F922" i="7"/>
  <c r="H324" i="6"/>
  <c r="F992" i="7"/>
  <c r="F542" i="7"/>
  <c r="J965" i="4"/>
  <c r="J969" i="4" s="1"/>
  <c r="L1011" i="4"/>
  <c r="BF185" i="5"/>
  <c r="BF208" i="5" s="1"/>
  <c r="BF219" i="5" s="1"/>
  <c r="BF223" i="5" s="1"/>
  <c r="K770" i="4"/>
  <c r="K771" i="4" s="1"/>
  <c r="BJ46" i="5"/>
  <c r="D54" i="5"/>
  <c r="AM185" i="5"/>
  <c r="AM208" i="5" s="1"/>
  <c r="AM219" i="5" s="1"/>
  <c r="AM223" i="5" s="1"/>
  <c r="AV185" i="5"/>
  <c r="AV208" i="5" s="1"/>
  <c r="AV219" i="5" s="1"/>
  <c r="AV223" i="5" s="1"/>
  <c r="AA185" i="5"/>
  <c r="AA208" i="5" s="1"/>
  <c r="AA219" i="5" s="1"/>
  <c r="AA223" i="5" s="1"/>
  <c r="K988" i="4"/>
  <c r="F998" i="7"/>
  <c r="H36" i="6"/>
  <c r="J756" i="4"/>
  <c r="J536" i="4"/>
  <c r="J218" i="4"/>
  <c r="J988" i="4"/>
  <c r="J996" i="4" s="1"/>
  <c r="J1023" i="4"/>
  <c r="J1024" i="4" s="1"/>
  <c r="P185" i="5"/>
  <c r="P208" i="5" s="1"/>
  <c r="P219" i="5" s="1"/>
  <c r="P223" i="5" s="1"/>
  <c r="X185" i="5"/>
  <c r="X208" i="5" s="1"/>
  <c r="X219" i="5" s="1"/>
  <c r="X223" i="5" s="1"/>
  <c r="AG185" i="5"/>
  <c r="AG208" i="5" s="1"/>
  <c r="AG219" i="5" s="1"/>
  <c r="AG223" i="5" s="1"/>
  <c r="AX185" i="5"/>
  <c r="AX208" i="5" s="1"/>
  <c r="AX219" i="5" s="1"/>
  <c r="AX223" i="5" s="1"/>
  <c r="R185" i="5"/>
  <c r="R208" i="5" s="1"/>
  <c r="R219" i="5" s="1"/>
  <c r="R223" i="5" s="1"/>
  <c r="N586" i="4"/>
  <c r="BJ38" i="5"/>
  <c r="J42" i="5"/>
  <c r="K90" i="4"/>
  <c r="M90" i="4" s="1"/>
  <c r="K833" i="4"/>
  <c r="M833" i="4" s="1"/>
  <c r="L228" i="4"/>
  <c r="L436" i="4"/>
  <c r="AZ185" i="5"/>
  <c r="AZ208" i="5" s="1"/>
  <c r="AZ219" i="5" s="1"/>
  <c r="AZ223" i="5" s="1"/>
  <c r="K447" i="4"/>
  <c r="M447" i="4" s="1"/>
  <c r="J146" i="4"/>
  <c r="L852" i="4"/>
  <c r="N988" i="4"/>
  <c r="N1023" i="4"/>
  <c r="N1033" i="4"/>
  <c r="M1033" i="4" s="1"/>
  <c r="AK185" i="5"/>
  <c r="AK208" i="5" s="1"/>
  <c r="BJ97" i="5"/>
  <c r="D102" i="5"/>
  <c r="BJ102" i="5" s="1"/>
  <c r="N18" i="5"/>
  <c r="N21" i="5" s="1"/>
  <c r="N29" i="5" s="1"/>
  <c r="BJ10" i="5"/>
  <c r="D42" i="5"/>
  <c r="BJ34" i="5"/>
  <c r="K156" i="4"/>
  <c r="M156" i="4" s="1"/>
  <c r="K249" i="4"/>
  <c r="M249" i="4" s="1"/>
  <c r="K398" i="4"/>
  <c r="M398" i="4" s="1"/>
  <c r="BJ25" i="5"/>
  <c r="BJ85" i="5"/>
  <c r="K303" i="4"/>
  <c r="M303" i="4" s="1"/>
  <c r="K625" i="4"/>
  <c r="M625" i="4" s="1"/>
  <c r="K1034" i="4"/>
  <c r="K806" i="4"/>
  <c r="M806" i="4" s="1"/>
  <c r="H48" i="6"/>
  <c r="D137" i="5"/>
  <c r="D113" i="5"/>
  <c r="K964" i="4"/>
  <c r="M964" i="4" s="1"/>
  <c r="K166" i="4"/>
  <c r="M166" i="4" s="1"/>
  <c r="L156" i="4"/>
  <c r="L146" i="4"/>
  <c r="N218" i="4"/>
  <c r="AQ185" i="5"/>
  <c r="AQ208" i="5" s="1"/>
  <c r="AQ219" i="5" s="1"/>
  <c r="AQ223" i="5" s="1"/>
  <c r="J845" i="4"/>
  <c r="AC206" i="5"/>
  <c r="BJ206" i="5" s="1"/>
  <c r="K115" i="4"/>
  <c r="M115" i="4" s="1"/>
  <c r="J586" i="4"/>
  <c r="K535" i="4"/>
  <c r="K239" i="4"/>
  <c r="M239" i="4" s="1"/>
  <c r="L969" i="4"/>
  <c r="C8" i="3" s="1"/>
  <c r="N337" i="4"/>
  <c r="V185" i="5"/>
  <c r="V208" i="5" s="1"/>
  <c r="V219" i="5" s="1"/>
  <c r="V223" i="5" s="1"/>
  <c r="AE185" i="5"/>
  <c r="AE208" i="5" s="1"/>
  <c r="AE219" i="5" s="1"/>
  <c r="AE223" i="5" s="1"/>
  <c r="BJ174" i="5"/>
  <c r="T185" i="5"/>
  <c r="T208" i="5" s="1"/>
  <c r="T219" i="5" s="1"/>
  <c r="T223" i="5" s="1"/>
  <c r="BJ130" i="5"/>
  <c r="J157" i="5"/>
  <c r="BJ151" i="5"/>
  <c r="J920" i="4"/>
  <c r="N919" i="4"/>
  <c r="K919" i="4"/>
  <c r="K920" i="4" s="1"/>
  <c r="K755" i="4"/>
  <c r="M755" i="4" s="1"/>
  <c r="AO185" i="5"/>
  <c r="AO208" i="5" s="1"/>
  <c r="AO219" i="5" s="1"/>
  <c r="AO223" i="5" s="1"/>
  <c r="F388" i="6"/>
  <c r="H940" i="7" l="1"/>
  <c r="F941" i="7"/>
  <c r="F73" i="5"/>
  <c r="H244" i="6"/>
  <c r="BJ137" i="5"/>
  <c r="F90" i="5"/>
  <c r="BJ113" i="5"/>
  <c r="M852" i="4"/>
  <c r="M1011" i="4"/>
  <c r="K1024" i="4"/>
  <c r="L920" i="4"/>
  <c r="C7" i="3" s="1"/>
  <c r="N1034" i="4"/>
  <c r="M535" i="4"/>
  <c r="M557" i="4"/>
  <c r="M586" i="4"/>
  <c r="N920" i="4"/>
  <c r="E7" i="3" s="1"/>
  <c r="M919" i="4"/>
  <c r="N1024" i="4"/>
  <c r="E12" i="3" s="1"/>
  <c r="M1023" i="4"/>
  <c r="M770" i="4"/>
  <c r="N996" i="4"/>
  <c r="E10" i="3" s="1"/>
  <c r="M988" i="4"/>
  <c r="M693" i="4"/>
  <c r="M771" i="4"/>
  <c r="AK219" i="5"/>
  <c r="AK223" i="5" s="1"/>
  <c r="I853" i="4"/>
  <c r="K756" i="4"/>
  <c r="M756" i="4" s="1"/>
  <c r="BJ66" i="5"/>
  <c r="J185" i="5"/>
  <c r="J208" i="5" s="1"/>
  <c r="J219" i="5" s="1"/>
  <c r="J223" i="5" s="1"/>
  <c r="D90" i="5"/>
  <c r="BJ54" i="5"/>
  <c r="BJ125" i="5"/>
  <c r="BD223" i="5"/>
  <c r="N223" i="5"/>
  <c r="BJ70" i="5"/>
  <c r="H686" i="7"/>
  <c r="BJ157" i="5"/>
  <c r="BJ42" i="5"/>
  <c r="BJ18" i="5"/>
  <c r="N853" i="4"/>
  <c r="E4" i="3" s="1"/>
  <c r="BJ21" i="5"/>
  <c r="BJ29" i="5"/>
  <c r="K337" i="4"/>
  <c r="M337" i="4" s="1"/>
  <c r="N965" i="4"/>
  <c r="N969" i="4" s="1"/>
  <c r="E8" i="3" s="1"/>
  <c r="BJ117" i="5"/>
  <c r="K845" i="4"/>
  <c r="M845" i="4" s="1"/>
  <c r="K218" i="4"/>
  <c r="M218" i="4" s="1"/>
  <c r="K536" i="4"/>
  <c r="M536" i="4" s="1"/>
  <c r="L337" i="4"/>
  <c r="L536" i="4"/>
  <c r="K996" i="4"/>
  <c r="J853" i="4"/>
  <c r="L218" i="4"/>
  <c r="AC208" i="5"/>
  <c r="AC219" i="5" s="1"/>
  <c r="AC223" i="5" s="1"/>
  <c r="K146" i="4"/>
  <c r="M146" i="4" s="1"/>
  <c r="K965" i="4"/>
  <c r="BJ73" i="5" l="1"/>
  <c r="F78" i="5"/>
  <c r="BJ78" i="5" s="1"/>
  <c r="H336" i="6"/>
  <c r="BJ90" i="5"/>
  <c r="M1034" i="4"/>
  <c r="E17" i="3"/>
  <c r="D185" i="5"/>
  <c r="D208" i="5" s="1"/>
  <c r="M965" i="4"/>
  <c r="M996" i="4"/>
  <c r="M1024" i="4"/>
  <c r="M920" i="4"/>
  <c r="K853" i="4"/>
  <c r="M853" i="4" s="1"/>
  <c r="N1035" i="4"/>
  <c r="L853" i="4"/>
  <c r="C4" i="3" s="1"/>
  <c r="K969" i="4"/>
  <c r="M969" i="4" s="1"/>
  <c r="F185" i="5" l="1"/>
  <c r="F208" i="5" s="1"/>
  <c r="BJ208" i="5" s="1"/>
  <c r="H340" i="6"/>
  <c r="C21" i="3"/>
  <c r="L1035" i="4"/>
  <c r="D219" i="5"/>
  <c r="BJ185" i="5" l="1"/>
  <c r="H338" i="6"/>
  <c r="C38" i="2"/>
  <c r="E38" i="2" s="1"/>
  <c r="H342" i="6"/>
  <c r="D223" i="5"/>
  <c r="D366" i="6"/>
  <c r="D369" i="6" s="1"/>
  <c r="H344" i="6" l="1"/>
  <c r="E5" i="3"/>
  <c r="E21" i="3" s="1"/>
  <c r="F997" i="7"/>
  <c r="H998" i="7" s="1"/>
  <c r="F213" i="5"/>
  <c r="F217" i="5" l="1"/>
  <c r="BJ213" i="5"/>
  <c r="BJ217" i="5" l="1"/>
  <c r="F219" i="5"/>
  <c r="F223" i="5" l="1"/>
  <c r="BJ223" i="5" s="1"/>
  <c r="BJ219" i="5"/>
</calcChain>
</file>

<file path=xl/sharedStrings.xml><?xml version="1.0" encoding="utf-8"?>
<sst xmlns="http://schemas.openxmlformats.org/spreadsheetml/2006/main" count="14039" uniqueCount="2703">
  <si>
    <t>Fund</t>
  </si>
  <si>
    <t xml:space="preserve">General Fund </t>
  </si>
  <si>
    <t>Bond Redemption Fund</t>
  </si>
  <si>
    <t>Building Fund</t>
  </si>
  <si>
    <t>Capital Projects Funds</t>
  </si>
  <si>
    <t>Food Service</t>
  </si>
  <si>
    <t>Trust/Agency Funds</t>
  </si>
  <si>
    <t>Total Appropriation</t>
  </si>
  <si>
    <t>General</t>
  </si>
  <si>
    <t>Pre-School</t>
  </si>
  <si>
    <t>Bond Redemption</t>
  </si>
  <si>
    <t>Capital Projects</t>
  </si>
  <si>
    <t>Trust and Agency</t>
  </si>
  <si>
    <t>CCS General Fund</t>
  </si>
  <si>
    <t xml:space="preserve">CCS Trust &amp; Agency </t>
  </si>
  <si>
    <t>Signature of Board President</t>
  </si>
  <si>
    <t>Date</t>
  </si>
  <si>
    <t>Per Pupil Funding (est)</t>
  </si>
  <si>
    <t xml:space="preserve">Pupil Count </t>
  </si>
  <si>
    <t>Program Funding</t>
  </si>
  <si>
    <t>Assessed Valuation</t>
  </si>
  <si>
    <t xml:space="preserve"> Mill Levy</t>
  </si>
  <si>
    <t>Local Property Tax Funding will generate</t>
  </si>
  <si>
    <t xml:space="preserve">Specific Ownership Tax </t>
  </si>
  <si>
    <t>Program Funding not funded by Local Taxes</t>
  </si>
  <si>
    <t>State Equalization Funding</t>
  </si>
  <si>
    <t>Mil Levy Override</t>
  </si>
  <si>
    <t>CCS</t>
  </si>
  <si>
    <t>CCS's portion of Override</t>
  </si>
  <si>
    <t>CCS Pur Ser From District</t>
  </si>
  <si>
    <t>TOTAL CCS Payment</t>
  </si>
  <si>
    <t>Actual Student Count  (FTE ) MOFFAT</t>
  </si>
  <si>
    <t xml:space="preserve">CCS STUDENT FTE </t>
  </si>
  <si>
    <t>Bond Redemption 2009</t>
  </si>
  <si>
    <t xml:space="preserve">Revenue/Expenditure Comparisons </t>
  </si>
  <si>
    <t>Moffat Consolidated School</t>
  </si>
  <si>
    <t>Reserves (Ending Cash)</t>
  </si>
  <si>
    <t>Allocations to Other Funds</t>
  </si>
  <si>
    <t>CCS General</t>
  </si>
  <si>
    <t>CCS Capital Projects</t>
  </si>
  <si>
    <t>10</t>
  </si>
  <si>
    <t xml:space="preserve">Beginning Fund Balance             </t>
  </si>
  <si>
    <t xml:space="preserve">Current Prop Tax                   </t>
  </si>
  <si>
    <t xml:space="preserve">Specific Ownership Tax             </t>
  </si>
  <si>
    <t xml:space="preserve">Mil Levy Override                  </t>
  </si>
  <si>
    <t xml:space="preserve">Investment Earnings                </t>
  </si>
  <si>
    <t xml:space="preserve">Other Revenue Local Sources        </t>
  </si>
  <si>
    <t xml:space="preserve">I-Pads                             </t>
  </si>
  <si>
    <t xml:space="preserve">Athletic Gate Receipts             </t>
  </si>
  <si>
    <t xml:space="preserve">E-rate Discount                    </t>
  </si>
  <si>
    <t xml:space="preserve">Mineral Lease                      </t>
  </si>
  <si>
    <t xml:space="preserve">Transportation                     </t>
  </si>
  <si>
    <t xml:space="preserve">READ Act                           </t>
  </si>
  <si>
    <t xml:space="preserve">Library Grant                      </t>
  </si>
  <si>
    <t>State Revenue from The CDE</t>
  </si>
  <si>
    <t xml:space="preserve">TItle I Fed.                       </t>
  </si>
  <si>
    <t xml:space="preserve">Title II-A                         </t>
  </si>
  <si>
    <t xml:space="preserve">Forest Service Reserves            </t>
  </si>
  <si>
    <t xml:space="preserve">REAP                               </t>
  </si>
  <si>
    <t xml:space="preserve">Capital Projects (CR) Transfers    </t>
  </si>
  <si>
    <t xml:space="preserve">Food Service Transfers             </t>
  </si>
  <si>
    <t xml:space="preserve">CCS Allocation                     </t>
  </si>
  <si>
    <t xml:space="preserve">Pre School Allocation              </t>
  </si>
  <si>
    <t>10 Total</t>
  </si>
  <si>
    <t>DESCRIPTION</t>
  </si>
  <si>
    <t xml:space="preserve">Kindergarten Teacher Salary        </t>
  </si>
  <si>
    <t xml:space="preserve">Kindergarten Substitute            </t>
  </si>
  <si>
    <t>Unemployment</t>
  </si>
  <si>
    <t xml:space="preserve">Kindergarten Medicare              </t>
  </si>
  <si>
    <t xml:space="preserve">Kindergarten Pera                  </t>
  </si>
  <si>
    <t xml:space="preserve">Kindergarten Fringe                </t>
  </si>
  <si>
    <t xml:space="preserve">Kindergarten Supplies              </t>
  </si>
  <si>
    <t xml:space="preserve">First Gr. Teacher Salary           </t>
  </si>
  <si>
    <t xml:space="preserve">First Gr. Substitute Salary        </t>
  </si>
  <si>
    <t xml:space="preserve">First Gr. Inc Prot/life Ins        </t>
  </si>
  <si>
    <t xml:space="preserve">First Gr. Medicare                 </t>
  </si>
  <si>
    <t xml:space="preserve">First Gr. Pera                     </t>
  </si>
  <si>
    <t xml:space="preserve">First Gr. Fringe                   </t>
  </si>
  <si>
    <t xml:space="preserve">First Gr. Supplies                 </t>
  </si>
  <si>
    <t>11 Total</t>
  </si>
  <si>
    <t xml:space="preserve">2nd Grade Teacher Salary           </t>
  </si>
  <si>
    <t xml:space="preserve">2nd Grade Substitute Salary        </t>
  </si>
  <si>
    <t xml:space="preserve">2nd Grade Medicare                 </t>
  </si>
  <si>
    <t xml:space="preserve">2nd Grade Pera                     </t>
  </si>
  <si>
    <t xml:space="preserve">2nd Supplies                       </t>
  </si>
  <si>
    <t>12 Total</t>
  </si>
  <si>
    <t xml:space="preserve">3rd Grade Teacher                  </t>
  </si>
  <si>
    <t xml:space="preserve">3rd Grade Substitute Salary        </t>
  </si>
  <si>
    <t xml:space="preserve">3rd Grade Medicare                 </t>
  </si>
  <si>
    <t xml:space="preserve">3rd Grade Pera                     </t>
  </si>
  <si>
    <t xml:space="preserve">3rd Grade Supplies                 </t>
  </si>
  <si>
    <t>13 Total</t>
  </si>
  <si>
    <t xml:space="preserve">4th Grade Teacher Salary           </t>
  </si>
  <si>
    <t xml:space="preserve">4th Grade Substitute Salary        </t>
  </si>
  <si>
    <t xml:space="preserve">4th Grade Medicare                 </t>
  </si>
  <si>
    <t xml:space="preserve">4th Grade Pera                     </t>
  </si>
  <si>
    <t xml:space="preserve">4th Grade Fringe                   </t>
  </si>
  <si>
    <t xml:space="preserve">4th Grade Supplies                 </t>
  </si>
  <si>
    <t>14 Total</t>
  </si>
  <si>
    <t xml:space="preserve">5th Grade Teacher Salary           </t>
  </si>
  <si>
    <t xml:space="preserve">5th Grade Substitute               </t>
  </si>
  <si>
    <t xml:space="preserve">5th Grade Medicare                 </t>
  </si>
  <si>
    <t xml:space="preserve">5th Grade Pera                     </t>
  </si>
  <si>
    <t xml:space="preserve">5th Grade Supplies                 </t>
  </si>
  <si>
    <t>15 Total</t>
  </si>
  <si>
    <t>100 Total</t>
  </si>
  <si>
    <t xml:space="preserve">PS Inc Prot/life Ins               </t>
  </si>
  <si>
    <t xml:space="preserve">PS Aide Inc Prot/life              </t>
  </si>
  <si>
    <t xml:space="preserve">PS Medicare                        </t>
  </si>
  <si>
    <t xml:space="preserve">PS Aide Medicare                   </t>
  </si>
  <si>
    <t xml:space="preserve">PS PERA                            </t>
  </si>
  <si>
    <t xml:space="preserve">PS Aide PERA                       </t>
  </si>
  <si>
    <t>40 Total</t>
  </si>
  <si>
    <t xml:space="preserve">MS LA Teacher                      </t>
  </si>
  <si>
    <t xml:space="preserve">MS LA Substitute                   </t>
  </si>
  <si>
    <t xml:space="preserve">MS LA Inc Prot/life In             </t>
  </si>
  <si>
    <t xml:space="preserve">MS LA Medicare                     </t>
  </si>
  <si>
    <t xml:space="preserve">MS LA PERA                         </t>
  </si>
  <si>
    <t xml:space="preserve">MS LA Supplies                     </t>
  </si>
  <si>
    <t>21 Total</t>
  </si>
  <si>
    <t xml:space="preserve">MS Math Teacher Salary             </t>
  </si>
  <si>
    <t xml:space="preserve">MS Math Substitute                 </t>
  </si>
  <si>
    <t xml:space="preserve">MS Math Inc Prot/life Ins          </t>
  </si>
  <si>
    <t xml:space="preserve">MS Math Medicare                   </t>
  </si>
  <si>
    <t xml:space="preserve">MS Math PERA                       </t>
  </si>
  <si>
    <t xml:space="preserve">MS Math Fringe                     </t>
  </si>
  <si>
    <t xml:space="preserve">MS Math Supplies                   </t>
  </si>
  <si>
    <t>22 Total</t>
  </si>
  <si>
    <t xml:space="preserve">MS SS Teacher Sal                  </t>
  </si>
  <si>
    <t xml:space="preserve">MS SS Sub Salary                   </t>
  </si>
  <si>
    <t xml:space="preserve">MS SS Fringe                       </t>
  </si>
  <si>
    <t xml:space="preserve">MS SS Inc prot/life                </t>
  </si>
  <si>
    <t xml:space="preserve">MS SS PERA                         </t>
  </si>
  <si>
    <t xml:space="preserve">MS SS Medicare                     </t>
  </si>
  <si>
    <t xml:space="preserve">MS SS Supplies                     </t>
  </si>
  <si>
    <t>23 Total</t>
  </si>
  <si>
    <t xml:space="preserve">MS Science Salary                  </t>
  </si>
  <si>
    <t xml:space="preserve">MS Science Sub                     </t>
  </si>
  <si>
    <t xml:space="preserve">MS Science Inc Prot/life Ins       </t>
  </si>
  <si>
    <t xml:space="preserve">MS Science Medicare                </t>
  </si>
  <si>
    <t xml:space="preserve">MS Science PERA                    </t>
  </si>
  <si>
    <t xml:space="preserve">MS Science Fringe                  </t>
  </si>
  <si>
    <t xml:space="preserve">MS Science Supplies                </t>
  </si>
  <si>
    <t>27 Total</t>
  </si>
  <si>
    <t xml:space="preserve">MS Coaching Salaries               </t>
  </si>
  <si>
    <t xml:space="preserve">MS Coaching Medicare               </t>
  </si>
  <si>
    <t xml:space="preserve">MS Coaching PERA                   </t>
  </si>
  <si>
    <t xml:space="preserve">Athletic Officials                 </t>
  </si>
  <si>
    <t xml:space="preserve">Sports Meals                       </t>
  </si>
  <si>
    <t xml:space="preserve">MS Dues And Fees                   </t>
  </si>
  <si>
    <t>1800 Total</t>
  </si>
  <si>
    <t>200 Total</t>
  </si>
  <si>
    <t xml:space="preserve">HS Bus Teacher                     </t>
  </si>
  <si>
    <t xml:space="preserve">HS Bus Substitute                  </t>
  </si>
  <si>
    <t xml:space="preserve">HS Bus Inc Prot/life Ins           </t>
  </si>
  <si>
    <t xml:space="preserve">HS Bus Medicare                    </t>
  </si>
  <si>
    <t xml:space="preserve">HS Bus PERA                        </t>
  </si>
  <si>
    <t xml:space="preserve">HS Bus Fringe                      </t>
  </si>
  <si>
    <t xml:space="preserve">HS Bus Supplies                    </t>
  </si>
  <si>
    <t>300 Total</t>
  </si>
  <si>
    <t xml:space="preserve">HS Lang Arts Teacher               </t>
  </si>
  <si>
    <t xml:space="preserve">HS Language Substitute             </t>
  </si>
  <si>
    <t xml:space="preserve">HS Lang Inc Prot/life Ins          </t>
  </si>
  <si>
    <t xml:space="preserve">HS Lang Arts Medicare              </t>
  </si>
  <si>
    <t xml:space="preserve">HS Language PERA                   </t>
  </si>
  <si>
    <t xml:space="preserve">HS Language Fringe                 </t>
  </si>
  <si>
    <t>500 Total</t>
  </si>
  <si>
    <t xml:space="preserve">HS For Lang Teacher                </t>
  </si>
  <si>
    <t xml:space="preserve">HS For Lang Substitute             </t>
  </si>
  <si>
    <t xml:space="preserve">HS For Lang Inc Prot/life          </t>
  </si>
  <si>
    <t xml:space="preserve">HS For Lang Medicare               </t>
  </si>
  <si>
    <t xml:space="preserve">HS For Lang PERA                   </t>
  </si>
  <si>
    <t xml:space="preserve">HS For Lang Fringe                 </t>
  </si>
  <si>
    <t xml:space="preserve">HS For Lang Supplies               </t>
  </si>
  <si>
    <t>600 Total</t>
  </si>
  <si>
    <t xml:space="preserve">Voc Ind Arts Salary                </t>
  </si>
  <si>
    <t xml:space="preserve">IA Substitute                      </t>
  </si>
  <si>
    <t xml:space="preserve">IA Inc Prot/life                   </t>
  </si>
  <si>
    <t xml:space="preserve">IA Medicare                        </t>
  </si>
  <si>
    <t xml:space="preserve">IA PERA                            </t>
  </si>
  <si>
    <t xml:space="preserve">IA Fringe                          </t>
  </si>
  <si>
    <t xml:space="preserve">IA Voc Purchased Ser               </t>
  </si>
  <si>
    <t xml:space="preserve">IA Repairs                         </t>
  </si>
  <si>
    <t xml:space="preserve">IA Supplies                        </t>
  </si>
  <si>
    <t xml:space="preserve">IA Equipment                       </t>
  </si>
  <si>
    <t>1000 Total</t>
  </si>
  <si>
    <t xml:space="preserve">HS Math Teacher Salary             </t>
  </si>
  <si>
    <t xml:space="preserve">HS Math Substitute                 </t>
  </si>
  <si>
    <t xml:space="preserve">HS Math Inc Prot/life Ins          </t>
  </si>
  <si>
    <t xml:space="preserve">HS Math Medicare                   </t>
  </si>
  <si>
    <t xml:space="preserve">HS Math Pera                       </t>
  </si>
  <si>
    <t xml:space="preserve">HS Math Fringe                     </t>
  </si>
  <si>
    <t xml:space="preserve">HS Math Supplies                   </t>
  </si>
  <si>
    <t>1100 Total</t>
  </si>
  <si>
    <t xml:space="preserve">HS Science Teacher Salary          </t>
  </si>
  <si>
    <t xml:space="preserve">HS Science Substitute              </t>
  </si>
  <si>
    <t xml:space="preserve">HS Science Inc Prot/life           </t>
  </si>
  <si>
    <t xml:space="preserve">HS Science Medicare                </t>
  </si>
  <si>
    <t xml:space="preserve">HS Science PERA                    </t>
  </si>
  <si>
    <t xml:space="preserve">HS Science Fringe                  </t>
  </si>
  <si>
    <t xml:space="preserve">HS Science Supplies                </t>
  </si>
  <si>
    <t>1300 Total</t>
  </si>
  <si>
    <t xml:space="preserve">HS Soc Studies Teacher             </t>
  </si>
  <si>
    <t xml:space="preserve">Hs SS Substitute                   </t>
  </si>
  <si>
    <t xml:space="preserve">HS SS Inc Prot/life                </t>
  </si>
  <si>
    <t xml:space="preserve">HS SS Medicare                     </t>
  </si>
  <si>
    <t xml:space="preserve">HS SS PERA                         </t>
  </si>
  <si>
    <t xml:space="preserve">HS SS Fringe                       </t>
  </si>
  <si>
    <t xml:space="preserve">HS SS Supplies                     </t>
  </si>
  <si>
    <t>1500 Total</t>
  </si>
  <si>
    <t xml:space="preserve">HS Coaching Salary                 </t>
  </si>
  <si>
    <t xml:space="preserve">HS Coaching Medicare               </t>
  </si>
  <si>
    <t xml:space="preserve">HS Coaching Pera                   </t>
  </si>
  <si>
    <t xml:space="preserve">HS Supplies                        </t>
  </si>
  <si>
    <t xml:space="preserve">HS Uniforms                        </t>
  </si>
  <si>
    <t xml:space="preserve">HS Athletic Dues &amp; Fees            </t>
  </si>
  <si>
    <t xml:space="preserve">Tuition                            </t>
  </si>
  <si>
    <t>50 Total</t>
  </si>
  <si>
    <t xml:space="preserve">Teacher Salary                     </t>
  </si>
  <si>
    <t>Salaries of Regular Employees</t>
  </si>
  <si>
    <t xml:space="preserve">Teacher Aide Salary                </t>
  </si>
  <si>
    <t xml:space="preserve">Substitute Salary                  </t>
  </si>
  <si>
    <t xml:space="preserve">Teacher Inc/Life                   </t>
  </si>
  <si>
    <t>Life and Disability Insurance</t>
  </si>
  <si>
    <t xml:space="preserve">Substitute Lunches                 </t>
  </si>
  <si>
    <t>Medicare</t>
  </si>
  <si>
    <t xml:space="preserve">Teacher Medicare                   </t>
  </si>
  <si>
    <t xml:space="preserve">Teacher Aide Medicare              </t>
  </si>
  <si>
    <t>PERA/Retirement Contributions</t>
  </si>
  <si>
    <t xml:space="preserve">Teacher  Pera                      </t>
  </si>
  <si>
    <t xml:space="preserve">Substitute Pera                    </t>
  </si>
  <si>
    <t xml:space="preserve">Teacher Aide Pera                  </t>
  </si>
  <si>
    <t>Health Benefits</t>
  </si>
  <si>
    <t xml:space="preserve">Sw Professional Services           </t>
  </si>
  <si>
    <t xml:space="preserve">Copier Contract                    </t>
  </si>
  <si>
    <t xml:space="preserve">Field Trip Travel Expense          </t>
  </si>
  <si>
    <t xml:space="preserve">Staff Development                  </t>
  </si>
  <si>
    <t xml:space="preserve">School Wide Supplies               </t>
  </si>
  <si>
    <t xml:space="preserve">School Wide Textbooks              </t>
  </si>
  <si>
    <t xml:space="preserve">School Wide Dues And Fees          </t>
  </si>
  <si>
    <t>60 Total</t>
  </si>
  <si>
    <t>70 Total</t>
  </si>
  <si>
    <t xml:space="preserve">Art Teacher                        </t>
  </si>
  <si>
    <t xml:space="preserve">Art Substitute                     </t>
  </si>
  <si>
    <t xml:space="preserve">Art Inc Prot/life Ins              </t>
  </si>
  <si>
    <t xml:space="preserve">Art Medicare                       </t>
  </si>
  <si>
    <t xml:space="preserve">Art Pera                           </t>
  </si>
  <si>
    <t xml:space="preserve">Art Fringe                         </t>
  </si>
  <si>
    <t xml:space="preserve">Art Supplies                       </t>
  </si>
  <si>
    <t xml:space="preserve">Phy. Ed. Teacher                   </t>
  </si>
  <si>
    <t xml:space="preserve">Phy. Ed. Substitute                </t>
  </si>
  <si>
    <t xml:space="preserve">Phy. Ed. Medicare                  </t>
  </si>
  <si>
    <t xml:space="preserve">Phy. Ed. Pera                      </t>
  </si>
  <si>
    <t xml:space="preserve">Phy. Ed. Fringe                    </t>
  </si>
  <si>
    <t xml:space="preserve">Phy. Ed. Equipment                 </t>
  </si>
  <si>
    <t>800 Total</t>
  </si>
  <si>
    <t xml:space="preserve">Music Teacher                      </t>
  </si>
  <si>
    <t xml:space="preserve">Music Substitute                   </t>
  </si>
  <si>
    <t xml:space="preserve">Music Inc Prot/life                </t>
  </si>
  <si>
    <t xml:space="preserve">Music Inc Medicare                 </t>
  </si>
  <si>
    <t xml:space="preserve">Music Pera                         </t>
  </si>
  <si>
    <t xml:space="preserve">Music Supplies                     </t>
  </si>
  <si>
    <t>1200 Total</t>
  </si>
  <si>
    <t xml:space="preserve">Extra Duty Pay                     </t>
  </si>
  <si>
    <t xml:space="preserve">Extra Duty-Medicare                </t>
  </si>
  <si>
    <t xml:space="preserve">Extra Duty-PERA                    </t>
  </si>
  <si>
    <t xml:space="preserve">Student Activity Travel            </t>
  </si>
  <si>
    <t xml:space="preserve">Student Activity Supplies          </t>
  </si>
  <si>
    <t xml:space="preserve">Student Activity Dues &amp; Fees       </t>
  </si>
  <si>
    <t>2213 Total</t>
  </si>
  <si>
    <t xml:space="preserve">Athletic Director Salary           </t>
  </si>
  <si>
    <t xml:space="preserve">Activity Director Medicare         </t>
  </si>
  <si>
    <t xml:space="preserve">Activity Director Pera             </t>
  </si>
  <si>
    <t xml:space="preserve">Activity Director Unemploymen      </t>
  </si>
  <si>
    <t>2234 Total</t>
  </si>
  <si>
    <t xml:space="preserve">Principal Salary                   </t>
  </si>
  <si>
    <t xml:space="preserve">Secretary Salary                   </t>
  </si>
  <si>
    <t xml:space="preserve">Principal Cashout                  </t>
  </si>
  <si>
    <t xml:space="preserve">Principal Inc Prot/life Ins        </t>
  </si>
  <si>
    <t xml:space="preserve">Secretary Inc Prot/life Ins        </t>
  </si>
  <si>
    <t xml:space="preserve">Principal Medicare                 </t>
  </si>
  <si>
    <t xml:space="preserve">Secretary Medicare                 </t>
  </si>
  <si>
    <t xml:space="preserve">Principal Pera                     </t>
  </si>
  <si>
    <t xml:space="preserve">Secretary Pera                     </t>
  </si>
  <si>
    <t xml:space="preserve">Principal Fringe                   </t>
  </si>
  <si>
    <t xml:space="preserve">Secretary Fringe                   </t>
  </si>
  <si>
    <t xml:space="preserve">Sch Adm Professional Service       </t>
  </si>
  <si>
    <t xml:space="preserve">Sch Adm Communications             </t>
  </si>
  <si>
    <t xml:space="preserve">Sch Adm Postage                    </t>
  </si>
  <si>
    <t xml:space="preserve">Sch Adm Travel                     </t>
  </si>
  <si>
    <t xml:space="preserve">Sch Adm Supplies                   </t>
  </si>
  <si>
    <t xml:space="preserve">Sch Adm Equipment                  </t>
  </si>
  <si>
    <t xml:space="preserve">Sch Adm Dues &amp; Fees                </t>
  </si>
  <si>
    <t>2400 Total</t>
  </si>
  <si>
    <t xml:space="preserve">DAC Salary                         </t>
  </si>
  <si>
    <t xml:space="preserve">DAC Salary Inc Prot/life           </t>
  </si>
  <si>
    <t xml:space="preserve">DAC Medicare                       </t>
  </si>
  <si>
    <t xml:space="preserve">DAC Pera                           </t>
  </si>
  <si>
    <t xml:space="preserve">DAC Travel                         </t>
  </si>
  <si>
    <t xml:space="preserve">DAC Supplies                       </t>
  </si>
  <si>
    <t>62 Total</t>
  </si>
  <si>
    <t>90 Total</t>
  </si>
  <si>
    <t xml:space="preserve">REAP Supplies                      </t>
  </si>
  <si>
    <t>91 Total</t>
  </si>
  <si>
    <t>509 Total</t>
  </si>
  <si>
    <t xml:space="preserve">Sped Teacher Salaries              </t>
  </si>
  <si>
    <t xml:space="preserve">Sped Substitute                    </t>
  </si>
  <si>
    <t xml:space="preserve">Sped Inc Prot/life Ins             </t>
  </si>
  <si>
    <t xml:space="preserve">Sped Medicare                      </t>
  </si>
  <si>
    <t xml:space="preserve">Sped Aide Medicare                 </t>
  </si>
  <si>
    <t xml:space="preserve">Sped Pera                          </t>
  </si>
  <si>
    <t xml:space="preserve">Sped  Aide Pera                    </t>
  </si>
  <si>
    <t xml:space="preserve">Sped Fringe                        </t>
  </si>
  <si>
    <t xml:space="preserve">Sped Aide Fringe                   </t>
  </si>
  <si>
    <t>1700 Total</t>
  </si>
  <si>
    <t xml:space="preserve">Guidance Salary                    </t>
  </si>
  <si>
    <t xml:space="preserve">Guidance Inc Prot/life Ins         </t>
  </si>
  <si>
    <t xml:space="preserve">Guidance Medicare                  </t>
  </si>
  <si>
    <t xml:space="preserve">Guidance Pera                      </t>
  </si>
  <si>
    <t xml:space="preserve">Guidance Fringe                    </t>
  </si>
  <si>
    <t xml:space="preserve">Guidance Supplies                  </t>
  </si>
  <si>
    <t>Supplies</t>
  </si>
  <si>
    <t>2120 Total</t>
  </si>
  <si>
    <t xml:space="preserve">Health Professional &amp; Tech         </t>
  </si>
  <si>
    <t>Travel, Registration and Entrance</t>
  </si>
  <si>
    <t xml:space="preserve">Health Supplies                    </t>
  </si>
  <si>
    <t>2130 Total</t>
  </si>
  <si>
    <t xml:space="preserve">Professional Services              </t>
  </si>
  <si>
    <t xml:space="preserve">Library Travel                     </t>
  </si>
  <si>
    <t xml:space="preserve">Library Supplies                   </t>
  </si>
  <si>
    <t xml:space="preserve">Library Books                      </t>
  </si>
  <si>
    <t xml:space="preserve">State Library Grant Books          </t>
  </si>
  <si>
    <t xml:space="preserve">Library Periodicals                </t>
  </si>
  <si>
    <t xml:space="preserve">Library Equipment                  </t>
  </si>
  <si>
    <t>2222 Total</t>
  </si>
  <si>
    <t xml:space="preserve">Legal Services                     </t>
  </si>
  <si>
    <t>2311 Total</t>
  </si>
  <si>
    <t xml:space="preserve">Audit                              </t>
  </si>
  <si>
    <t>2317 Total</t>
  </si>
  <si>
    <t>2319 Total</t>
  </si>
  <si>
    <t xml:space="preserve">Superintendent Salary              </t>
  </si>
  <si>
    <t xml:space="preserve">Superintendent Cash Out            </t>
  </si>
  <si>
    <t xml:space="preserve">Superintendent Inc Prot/life       </t>
  </si>
  <si>
    <t xml:space="preserve">Superintendent Medicare            </t>
  </si>
  <si>
    <t xml:space="preserve">Superintendent Pera                </t>
  </si>
  <si>
    <t xml:space="preserve">Superintendent Fringe              </t>
  </si>
  <si>
    <t xml:space="preserve">Prof &amp; Tech                        </t>
  </si>
  <si>
    <t xml:space="preserve">Communications Supt.               </t>
  </si>
  <si>
    <t xml:space="preserve">Advertising                        </t>
  </si>
  <si>
    <t xml:space="preserve">Supt. Travel                       </t>
  </si>
  <si>
    <t xml:space="preserve">Supt. Supplies                     </t>
  </si>
  <si>
    <t xml:space="preserve">Supt. Equipment                    </t>
  </si>
  <si>
    <t xml:space="preserve">Supt. Dues And Fees                </t>
  </si>
  <si>
    <t>2320 Total</t>
  </si>
  <si>
    <t xml:space="preserve">Treasurer's Fees                   </t>
  </si>
  <si>
    <t xml:space="preserve">Prof &amp; Tech Service                </t>
  </si>
  <si>
    <t xml:space="preserve">Acct Supplies                      </t>
  </si>
  <si>
    <t xml:space="preserve">Equipment                          </t>
  </si>
  <si>
    <t>2500 Total</t>
  </si>
  <si>
    <t xml:space="preserve">Comp Tech Salary                   </t>
  </si>
  <si>
    <t xml:space="preserve">Comp Tech Inc Prot/life I          </t>
  </si>
  <si>
    <t xml:space="preserve">CompTech Medicare                  </t>
  </si>
  <si>
    <t xml:space="preserve">CompTech PERA                      </t>
  </si>
  <si>
    <t xml:space="preserve">CompTech Fringe                    </t>
  </si>
  <si>
    <t xml:space="preserve">Comp Tech Pur Service              </t>
  </si>
  <si>
    <t xml:space="preserve">CompTech Internet Lines            </t>
  </si>
  <si>
    <t xml:space="preserve">CompTech Supplies                  </t>
  </si>
  <si>
    <t xml:space="preserve">Comp Tech Equipment                </t>
  </si>
  <si>
    <t>2840 Total</t>
  </si>
  <si>
    <t>601 Total</t>
  </si>
  <si>
    <t xml:space="preserve">O/M Custodial PERA                 </t>
  </si>
  <si>
    <t xml:space="preserve">O/M Custodial Fringe               </t>
  </si>
  <si>
    <t xml:space="preserve">O/M Prof Serv.                     </t>
  </si>
  <si>
    <t xml:space="preserve">O/M Repairs                        </t>
  </si>
  <si>
    <t xml:space="preserve">O/M Supplies                       </t>
  </si>
  <si>
    <t xml:space="preserve">O/M Electricity                    </t>
  </si>
  <si>
    <t xml:space="preserve">O/M Propane                        </t>
  </si>
  <si>
    <t xml:space="preserve">O/M Equipment                      </t>
  </si>
  <si>
    <t>2600 Total</t>
  </si>
  <si>
    <t xml:space="preserve">Transp Drivers                     </t>
  </si>
  <si>
    <t xml:space="preserve">Transp Dr Inc Prot/life I          </t>
  </si>
  <si>
    <t xml:space="preserve">Transp Pur Serv                    </t>
  </si>
  <si>
    <t xml:space="preserve">Transp Repairs                     </t>
  </si>
  <si>
    <t xml:space="preserve">Transp Travel                      </t>
  </si>
  <si>
    <t xml:space="preserve">Transp Supplies                    </t>
  </si>
  <si>
    <t xml:space="preserve">Transp Gas/diesel/oil              </t>
  </si>
  <si>
    <t xml:space="preserve">Transp Equipment                   </t>
  </si>
  <si>
    <t>2700 Total</t>
  </si>
  <si>
    <t xml:space="preserve">Ath Act Bus Driver Salary          </t>
  </si>
  <si>
    <t xml:space="preserve">Ath Act  Driver Medicare           </t>
  </si>
  <si>
    <t xml:space="preserve">Ath Act Driver PERA                </t>
  </si>
  <si>
    <t xml:space="preserve">Gas/oil/diesel/ Non Transport      </t>
  </si>
  <si>
    <t>2701 Total</t>
  </si>
  <si>
    <t xml:space="preserve">Insurance                          </t>
  </si>
  <si>
    <t>2850 Total</t>
  </si>
  <si>
    <t>3100 Total</t>
  </si>
  <si>
    <t>700 Total</t>
  </si>
  <si>
    <t xml:space="preserve">Workers Compensation               </t>
  </si>
  <si>
    <t xml:space="preserve">Appropriated Reserves              </t>
  </si>
  <si>
    <t>9100 Total</t>
  </si>
  <si>
    <t xml:space="preserve">Tabor Reserve (3%)                 </t>
  </si>
  <si>
    <t>9310 Total</t>
  </si>
  <si>
    <t xml:space="preserve"> </t>
  </si>
  <si>
    <t>950 Total</t>
  </si>
  <si>
    <t>19</t>
  </si>
  <si>
    <t xml:space="preserve">PS Interest                        </t>
  </si>
  <si>
    <t xml:space="preserve">PS Teacher Salary                  </t>
  </si>
  <si>
    <t xml:space="preserve">PS Aide Salary                     </t>
  </si>
  <si>
    <t xml:space="preserve">PS Substitute Salary               </t>
  </si>
  <si>
    <t xml:space="preserve">PS Unemp                           </t>
  </si>
  <si>
    <t xml:space="preserve">PS Aide Unempl                     </t>
  </si>
  <si>
    <t>PS Aide Fringe</t>
  </si>
  <si>
    <t>Professional-Educational Services</t>
  </si>
  <si>
    <t xml:space="preserve">PS Supplies                        </t>
  </si>
  <si>
    <t xml:space="preserve">PS Equipment                       </t>
  </si>
  <si>
    <t>Technical Services</t>
  </si>
  <si>
    <t>21</t>
  </si>
  <si>
    <t>Earnings on Investments</t>
  </si>
  <si>
    <t>Other Revenue from Local Sources</t>
  </si>
  <si>
    <t>Fresh Fruits/Veg</t>
  </si>
  <si>
    <t>Other Supply/Materials</t>
  </si>
  <si>
    <t>General Supplies</t>
  </si>
  <si>
    <t>Food (For Food Service Fund only)</t>
  </si>
  <si>
    <t>Commodity Fees (USDA Donated</t>
  </si>
  <si>
    <t>Equipment</t>
  </si>
  <si>
    <t xml:space="preserve">Operating Reserves                 </t>
  </si>
  <si>
    <t>31</t>
  </si>
  <si>
    <t>5100 Total</t>
  </si>
  <si>
    <t xml:space="preserve">Reserves - CCS                     </t>
  </si>
  <si>
    <t>850 Total</t>
  </si>
  <si>
    <t>43</t>
  </si>
  <si>
    <t xml:space="preserve">MCS Transfer from Moffat GF        </t>
  </si>
  <si>
    <t xml:space="preserve">MCS Improvements                   </t>
  </si>
  <si>
    <t xml:space="preserve">MCS Vehicles                       </t>
  </si>
  <si>
    <t xml:space="preserve">MCS Appropriated Reserves          </t>
  </si>
  <si>
    <t xml:space="preserve">Moffat Beginning Fund Balance      </t>
  </si>
  <si>
    <t>1900</t>
  </si>
  <si>
    <t>000</t>
  </si>
  <si>
    <t>2600</t>
  </si>
  <si>
    <t>0000</t>
  </si>
  <si>
    <t>21 Total Revenue</t>
  </si>
  <si>
    <t>21 Food Svc Expenditures</t>
  </si>
  <si>
    <t>Pre School Revenue</t>
  </si>
  <si>
    <t>Pre School Expenditures</t>
  </si>
  <si>
    <t>19 Total Revenues</t>
  </si>
  <si>
    <t>19 Total Expenditures</t>
  </si>
  <si>
    <t>10 Total Revenues</t>
  </si>
  <si>
    <t>100</t>
  </si>
  <si>
    <t>0</t>
  </si>
  <si>
    <t>12</t>
  </si>
  <si>
    <t>250</t>
  </si>
  <si>
    <t>200</t>
  </si>
  <si>
    <t>2nd Grade Fringe</t>
  </si>
  <si>
    <t xml:space="preserve">5th Grade Fringe               </t>
  </si>
  <si>
    <t>8</t>
  </si>
  <si>
    <t>210</t>
  </si>
  <si>
    <t>4367</t>
  </si>
  <si>
    <t>Title II PD</t>
  </si>
  <si>
    <t>Ending Fund Balance</t>
  </si>
  <si>
    <t>21 Total Expenditures</t>
  </si>
  <si>
    <t>31 Bond Redemption Fund</t>
  </si>
  <si>
    <t>31 Total Revenue</t>
  </si>
  <si>
    <t>31 Bond Redemption Expenditure</t>
  </si>
  <si>
    <t>31 Total Expenditures</t>
  </si>
  <si>
    <t>43 Capital Projects Fund Revenue</t>
  </si>
  <si>
    <t>43 Total Expenditures</t>
  </si>
  <si>
    <t>43 Capital Projects Fund Expenditure</t>
  </si>
  <si>
    <t>Total Fund Appropriations</t>
  </si>
  <si>
    <t>21 Food Svc Fund Revenue</t>
  </si>
  <si>
    <t>#</t>
  </si>
  <si>
    <t>Acct.</t>
  </si>
  <si>
    <t>School</t>
  </si>
  <si>
    <t>Moffat</t>
  </si>
  <si>
    <t>Crestone Charter School</t>
  </si>
  <si>
    <t>Pre-School Fund</t>
  </si>
  <si>
    <t>Food Service Fund</t>
  </si>
  <si>
    <t>Beginning Cash Balance</t>
  </si>
  <si>
    <t>43 Total Revenue w/BCB</t>
  </si>
  <si>
    <t>Amount</t>
  </si>
  <si>
    <t>______________________________</t>
  </si>
  <si>
    <t>221</t>
  </si>
  <si>
    <t>2130</t>
  </si>
  <si>
    <t>0300</t>
  </si>
  <si>
    <t>3141</t>
  </si>
  <si>
    <t>2300</t>
  </si>
  <si>
    <t>0310</t>
  </si>
  <si>
    <t>Administrative Svcs</t>
  </si>
  <si>
    <t>2800</t>
  </si>
  <si>
    <t>0330</t>
  </si>
  <si>
    <t>Purchased Svcs - Nursing</t>
  </si>
  <si>
    <t>Other Prof Svcs - Food Svc/Library</t>
  </si>
  <si>
    <t>4200</t>
  </si>
  <si>
    <t>0700</t>
  </si>
  <si>
    <t>2800 Total</t>
  </si>
  <si>
    <t>400</t>
  </si>
  <si>
    <t>Unemployment - Aide</t>
  </si>
  <si>
    <t>First Gr. Teacher Aide Salary</t>
  </si>
  <si>
    <t>First Gr. Medicare - Aide</t>
  </si>
  <si>
    <t>First Gr. Pera - Aide</t>
  </si>
  <si>
    <t xml:space="preserve">MS Bus Teacher                     </t>
  </si>
  <si>
    <t xml:space="preserve">MS Bus Substitute                  </t>
  </si>
  <si>
    <t xml:space="preserve">MS Bus Inc Prot/life Ins           </t>
  </si>
  <si>
    <t xml:space="preserve">MS Bus Medicare                    </t>
  </si>
  <si>
    <t xml:space="preserve">MS Bus PERA                        </t>
  </si>
  <si>
    <t xml:space="preserve">MS Bus Fringe                      </t>
  </si>
  <si>
    <t xml:space="preserve">MS Bus Supplies                    </t>
  </si>
  <si>
    <t>0900</t>
  </si>
  <si>
    <t>HS Home Ec/LifeSkills</t>
  </si>
  <si>
    <t xml:space="preserve">HS Home Ec/LifeSkills Substitute                      </t>
  </si>
  <si>
    <t xml:space="preserve">HS LifeSkills Medicare                        </t>
  </si>
  <si>
    <t xml:space="preserve">HS LifeSkills Inc Prot/life                   </t>
  </si>
  <si>
    <t xml:space="preserve">HS LifeSkills PERA                            </t>
  </si>
  <si>
    <t xml:space="preserve">HS LifeSkills Fringe                          </t>
  </si>
  <si>
    <t xml:space="preserve">HS LifeSkills Supplies                        </t>
  </si>
  <si>
    <t>0900 Total</t>
  </si>
  <si>
    <t>2nd Grade Inc Prot/life Ins</t>
  </si>
  <si>
    <t>13</t>
  </si>
  <si>
    <t>3rd Grade Inc Prot/life Ins</t>
  </si>
  <si>
    <t>3rd Grade Fringe</t>
  </si>
  <si>
    <t>14</t>
  </si>
  <si>
    <t>4th Grade Inc Prot/life Ins</t>
  </si>
  <si>
    <t>15</t>
  </si>
  <si>
    <t>5th Grade Inc Prot/life Ins</t>
  </si>
  <si>
    <t xml:space="preserve">HS Language Supplies              </t>
  </si>
  <si>
    <t>500</t>
  </si>
  <si>
    <t>60</t>
  </si>
  <si>
    <t>110</t>
  </si>
  <si>
    <t>201</t>
  </si>
  <si>
    <t>3206</t>
  </si>
  <si>
    <t>3235</t>
  </si>
  <si>
    <t xml:space="preserve">Teacher Aide Fringe               </t>
  </si>
  <si>
    <t>580</t>
  </si>
  <si>
    <t>70</t>
  </si>
  <si>
    <t>215</t>
  </si>
  <si>
    <t>230</t>
  </si>
  <si>
    <t>600</t>
  </si>
  <si>
    <t>3150</t>
  </si>
  <si>
    <t>G/T Supplies</t>
  </si>
  <si>
    <t xml:space="preserve">G/T Medicare                       </t>
  </si>
  <si>
    <t xml:space="preserve">Title II Salary                    </t>
  </si>
  <si>
    <t>Title II Unemployment</t>
  </si>
  <si>
    <t xml:space="preserve">Title II Medicare                  </t>
  </si>
  <si>
    <t xml:space="preserve">Title II Pera                      </t>
  </si>
  <si>
    <t xml:space="preserve">Title I Teacher                    </t>
  </si>
  <si>
    <t xml:space="preserve">Title I Teacher Inc Prot/life      </t>
  </si>
  <si>
    <t>Title I Unemployment</t>
  </si>
  <si>
    <t xml:space="preserve">Title I Teacher Medicare           </t>
  </si>
  <si>
    <t xml:space="preserve">Title I Aide Medicare              </t>
  </si>
  <si>
    <t xml:space="preserve">Title I Teacher Pera               </t>
  </si>
  <si>
    <t xml:space="preserve">Title I Teacher Fringe             </t>
  </si>
  <si>
    <t>2120</t>
  </si>
  <si>
    <t>2311</t>
  </si>
  <si>
    <t>Other Professional Services</t>
  </si>
  <si>
    <t>442</t>
  </si>
  <si>
    <t>O/M Rental</t>
  </si>
  <si>
    <t xml:space="preserve">O/M Landfill Charges                </t>
  </si>
  <si>
    <t>6727</t>
  </si>
  <si>
    <t>6727 Total</t>
  </si>
  <si>
    <t>204</t>
  </si>
  <si>
    <t>730</t>
  </si>
  <si>
    <t>G/T Equipment</t>
  </si>
  <si>
    <t xml:space="preserve">Activities G/T                     </t>
  </si>
  <si>
    <t xml:space="preserve">Salaries G/T                       </t>
  </si>
  <si>
    <t>Music Fringe</t>
  </si>
  <si>
    <t>1200</t>
  </si>
  <si>
    <t>40</t>
  </si>
  <si>
    <t>310</t>
  </si>
  <si>
    <t>PS Purchased Services</t>
  </si>
  <si>
    <t>700</t>
  </si>
  <si>
    <t>3100</t>
  </si>
  <si>
    <t>607</t>
  </si>
  <si>
    <t>4582</t>
  </si>
  <si>
    <t>Salaries - FFV</t>
  </si>
  <si>
    <t>Unemployment - FFV</t>
  </si>
  <si>
    <t>Medicare - FFV</t>
  </si>
  <si>
    <t>633</t>
  </si>
  <si>
    <t>MCS Equipment</t>
  </si>
  <si>
    <t xml:space="preserve">MCS Beginning Fund Balance         </t>
  </si>
  <si>
    <t xml:space="preserve">MCS Investments                    </t>
  </si>
  <si>
    <t xml:space="preserve">MCS ColoTrust Investments          </t>
  </si>
  <si>
    <t>11</t>
  </si>
  <si>
    <t>PERA</t>
  </si>
  <si>
    <t xml:space="preserve">G/T PERA                           </t>
  </si>
  <si>
    <t>Federal Revenue from CDE - Brkfst</t>
  </si>
  <si>
    <t>Federal Revenue from CDE - Lunch</t>
  </si>
  <si>
    <t>3000</t>
  </si>
  <si>
    <t>3139</t>
  </si>
  <si>
    <t>ELPA</t>
  </si>
  <si>
    <t>3951</t>
  </si>
  <si>
    <t>3130</t>
  </si>
  <si>
    <t>Special Ed BOCES Grant</t>
  </si>
  <si>
    <t>4000</t>
  </si>
  <si>
    <t>4575</t>
  </si>
  <si>
    <t>USDA Farm to School Grant</t>
  </si>
  <si>
    <t>1852</t>
  </si>
  <si>
    <t>5412</t>
  </si>
  <si>
    <t>RTTT Early Child</t>
  </si>
  <si>
    <t>Other Supply/Materials - FFV</t>
  </si>
  <si>
    <t xml:space="preserve">Colotrust Investment              </t>
  </si>
  <si>
    <t xml:space="preserve">CCS Purchased Services             </t>
  </si>
  <si>
    <t>735</t>
  </si>
  <si>
    <t>1430</t>
  </si>
  <si>
    <t xml:space="preserve">Transfer From Moffat GF            </t>
  </si>
  <si>
    <t>320</t>
  </si>
  <si>
    <t>90</t>
  </si>
  <si>
    <t>509</t>
  </si>
  <si>
    <t>4010</t>
  </si>
  <si>
    <t>Title IV-A</t>
  </si>
  <si>
    <t>62</t>
  </si>
  <si>
    <t>Title II - Supplies</t>
  </si>
  <si>
    <t>1700</t>
  </si>
  <si>
    <t>300</t>
  </si>
  <si>
    <t>Sped Professional Services</t>
  </si>
  <si>
    <t>Milk</t>
  </si>
  <si>
    <t>Unemployment G/T</t>
  </si>
  <si>
    <t>CDE Revenue - Small Rural Schools</t>
  </si>
  <si>
    <t>CDE Revenue - Additional At-Risk</t>
  </si>
  <si>
    <t>Revised 12/2017</t>
  </si>
  <si>
    <t>1440</t>
  </si>
  <si>
    <t>Other Revenue Local - Sales Tax Grant</t>
  </si>
  <si>
    <t>2100</t>
  </si>
  <si>
    <t>4424</t>
  </si>
  <si>
    <t>2100 Total</t>
  </si>
  <si>
    <t>Title IV - Supplies/PBIS</t>
  </si>
  <si>
    <t>0600</t>
  </si>
  <si>
    <t xml:space="preserve">Gifted and Talented BOCES Grant          </t>
  </si>
  <si>
    <t>Farm to School Supplies</t>
  </si>
  <si>
    <t>O/M Equipment - County Sales Tax Grant</t>
  </si>
  <si>
    <t>O/M Equipment - County Conservation Grant</t>
  </si>
  <si>
    <t xml:space="preserve">Communications Business Office         </t>
  </si>
  <si>
    <t xml:space="preserve">Dues And Fees-Business Office           </t>
  </si>
  <si>
    <t>DISTRICT CODE</t>
  </si>
  <si>
    <t>10                   General Fund</t>
  </si>
  <si>
    <t>11                      Charter School Fund</t>
  </si>
  <si>
    <t>18               Insurance Reserve / Risk-Management</t>
  </si>
  <si>
    <t xml:space="preserve">19              Preschool and Kindergarten </t>
  </si>
  <si>
    <t>20
 ARRA (Federal Stimulus Funding) Grants Fund</t>
  </si>
  <si>
    <t>22                 Governmental Designated Grants Fund</t>
  </si>
  <si>
    <t xml:space="preserve">23                       Pupil Activity </t>
  </si>
  <si>
    <t>24
Full-Day Kindergarten Mill Levy Override</t>
  </si>
  <si>
    <t xml:space="preserve">25        Transportation </t>
  </si>
  <si>
    <t>(26-29)                              Other Special Revenue</t>
  </si>
  <si>
    <t>30                        Debt Service Fund</t>
  </si>
  <si>
    <t>31                        Bond Redemption</t>
  </si>
  <si>
    <t>39                        COP Debt</t>
  </si>
  <si>
    <t>41                    Building Fund</t>
  </si>
  <si>
    <t>42                    Special Building &amp; Technology</t>
  </si>
  <si>
    <t>43                       Capital Reserve Capital Projects</t>
  </si>
  <si>
    <t>50                   Enterprise Funds</t>
  </si>
  <si>
    <t>51                           DO NOT USE</t>
  </si>
  <si>
    <t xml:space="preserve">60                   Internal Service </t>
  </si>
  <si>
    <t>63                           Risk-Related Activity</t>
  </si>
  <si>
    <t>64                            Risk Related Activity</t>
  </si>
  <si>
    <t>70                      Fiduciary: Trust and Other Agency Funds: 70, 71, 75-79</t>
  </si>
  <si>
    <t>72                      Private-Purpose Trust</t>
  </si>
  <si>
    <t xml:space="preserve">73                           Agency </t>
  </si>
  <si>
    <t>74                         Pupil Activity Agency</t>
  </si>
  <si>
    <t xml:space="preserve">85           Foundations </t>
  </si>
  <si>
    <t xml:space="preserve">Component
Units and Other Reportable Funds </t>
  </si>
  <si>
    <t>TOTAL</t>
  </si>
  <si>
    <t>FY2016-2017 Budget</t>
  </si>
  <si>
    <t>FY2010-2011 Revised Budget</t>
  </si>
  <si>
    <t>Budgeted Pupil Count</t>
  </si>
  <si>
    <t>See Fund 31</t>
  </si>
  <si>
    <t>See Fund 64</t>
  </si>
  <si>
    <t>See Fund 70</t>
  </si>
  <si>
    <t>BEGINNING FUND BALANCE                               (Includes ALL Reserves)</t>
  </si>
  <si>
    <t>Object/ Source</t>
  </si>
  <si>
    <t>REVENUES</t>
  </si>
  <si>
    <t>Local Sources</t>
  </si>
  <si>
    <t>1000 - 1999</t>
  </si>
  <si>
    <t>Intermediate Sources</t>
  </si>
  <si>
    <t>2000 - 2999</t>
  </si>
  <si>
    <t>State Sources</t>
  </si>
  <si>
    <t>3000 - 3999</t>
  </si>
  <si>
    <t>Federal Sources</t>
  </si>
  <si>
    <t>4000 - 4999</t>
  </si>
  <si>
    <t>TOTAL REVENUES</t>
  </si>
  <si>
    <t>TOTAL BEGINNING FUND BALANCE &amp; REVENUES</t>
  </si>
  <si>
    <t xml:space="preserve">      </t>
  </si>
  <si>
    <t>TOTAL ALLOCATIONS TO/FROM OTHER FUNDS</t>
  </si>
  <si>
    <t>5600,5700, 5800</t>
  </si>
  <si>
    <t>TRANSFERS TO/FROM OTHER FUNDS</t>
  </si>
  <si>
    <t>5200 - 5300</t>
  </si>
  <si>
    <t xml:space="preserve">Other Sources </t>
  </si>
  <si>
    <t>5100,5400, 5500,5900, 5990, 5991</t>
  </si>
  <si>
    <t>AVAILABLE  BEGINNING FUND BALANCE &amp; REVENUES (Plus or Minus (if Revenue) Allocations and Transfers)</t>
  </si>
  <si>
    <t>EXPENDITURES</t>
  </si>
  <si>
    <t>TOTAL Local, State, Federal Expenditures</t>
  </si>
  <si>
    <t>Instruction - Program 0010 to 2099</t>
  </si>
  <si>
    <t xml:space="preserve">  Salaries</t>
  </si>
  <si>
    <t>0100</t>
  </si>
  <si>
    <t xml:space="preserve">  Employee Benefits</t>
  </si>
  <si>
    <t>0200</t>
  </si>
  <si>
    <t xml:space="preserve">  Purchased Services</t>
  </si>
  <si>
    <t>0400</t>
  </si>
  <si>
    <t>0500</t>
  </si>
  <si>
    <t xml:space="preserve">  Supplies and Materials</t>
  </si>
  <si>
    <t xml:space="preserve">  Property</t>
  </si>
  <si>
    <t xml:space="preserve">  Other</t>
  </si>
  <si>
    <t>0800</t>
  </si>
  <si>
    <t xml:space="preserve">     Total Instruction</t>
  </si>
  <si>
    <t>Supporting Services</t>
  </si>
  <si>
    <t>Students - Program 2100</t>
  </si>
  <si>
    <t xml:space="preserve">     Total Students</t>
  </si>
  <si>
    <t>Instructional Staff - Program 2200</t>
  </si>
  <si>
    <t xml:space="preserve">     Total Instructional Staff</t>
  </si>
  <si>
    <t>General Administration - Program 2300, including Program 2303 and 2304</t>
  </si>
  <si>
    <t xml:space="preserve">     Total School Administration</t>
  </si>
  <si>
    <t>School Administration - Program 2400</t>
  </si>
  <si>
    <t xml:space="preserve">  Property </t>
  </si>
  <si>
    <t>Business Services - Program 2500, including Program 2501</t>
  </si>
  <si>
    <t xml:space="preserve">      Total Business Services</t>
  </si>
  <si>
    <t>Operations and Maintenance - Program 2600</t>
  </si>
  <si>
    <t xml:space="preserve">     Total Operations and Maintenance</t>
  </si>
  <si>
    <t>Student Transportation - Program 2700</t>
  </si>
  <si>
    <t xml:space="preserve">     Total Student Transportation</t>
  </si>
  <si>
    <t>Central Support - Program 2800, including Program 2801</t>
  </si>
  <si>
    <t xml:space="preserve">     Total Central Support</t>
  </si>
  <si>
    <t>Other Support - Program 2900</t>
  </si>
  <si>
    <t>0300,0400 ,0500</t>
  </si>
  <si>
    <t>0800, 0900</t>
  </si>
  <si>
    <t xml:space="preserve">     Total Other Support</t>
  </si>
  <si>
    <t>Food Service Operations - Program 3100</t>
  </si>
  <si>
    <t>Enterprise Operatings - Program 3200</t>
  </si>
  <si>
    <t xml:space="preserve">     Total Enterprise Operations</t>
  </si>
  <si>
    <t>Community Services - Program 3300</t>
  </si>
  <si>
    <t xml:space="preserve">     Total Community Services</t>
  </si>
  <si>
    <t>Education for Adults - Program 3400</t>
  </si>
  <si>
    <t xml:space="preserve">     Total Education for Adults Services</t>
  </si>
  <si>
    <t xml:space="preserve">     Total Supporting Services</t>
  </si>
  <si>
    <t>Property - Program 4000</t>
  </si>
  <si>
    <t xml:space="preserve">     Total Property</t>
  </si>
  <si>
    <t>Other Uses - Program 5000s - including Transfers Out and/or Allocations Out as an expenditure</t>
  </si>
  <si>
    <t>N/A</t>
  </si>
  <si>
    <t xml:space="preserve">     Total Other Uses</t>
  </si>
  <si>
    <t xml:space="preserve">     TOTAL EXPENDITURES</t>
  </si>
  <si>
    <t>RESERVES</t>
  </si>
  <si>
    <t xml:space="preserve">   Other Reserved Fund Balance  - Program 9900</t>
  </si>
  <si>
    <t>0840</t>
  </si>
  <si>
    <t xml:space="preserve">   Other Restricted Reserves: 932X</t>
  </si>
  <si>
    <t xml:space="preserve">   Reserved Fund Balance - Program 9100</t>
  </si>
  <si>
    <t xml:space="preserve">  District Emergency Reserve - Program 9315</t>
  </si>
  <si>
    <t xml:space="preserve">   Reserve for TABOR 3% - Program 9321</t>
  </si>
  <si>
    <t xml:space="preserve">   Res. for TABOR - Multi-Year Obligations Program 9322</t>
  </si>
  <si>
    <t xml:space="preserve">      TOTAL RESERVES</t>
  </si>
  <si>
    <t xml:space="preserve">     TOTAL EXPENDITURES &amp; RESERVES</t>
  </si>
  <si>
    <t>NON-APPROPRIATED RESERVE - Program 9200</t>
  </si>
  <si>
    <t>TOTAL AVAILABLE BEGINNING FUND BALANCE &amp; REVENUES LESS TOTAL EXPENDITURES &amp; RESERVES LESS NON-APPROPRIATED RESERVES                                       (Should Equal Zero (0)</t>
  </si>
  <si>
    <t xml:space="preserve">  Purchased Property Services</t>
  </si>
  <si>
    <t xml:space="preserve">  Other Purchased Services</t>
  </si>
  <si>
    <t xml:space="preserve">  Other Uses of Funds</t>
  </si>
  <si>
    <t>BEGINNING CASH BALANCE</t>
  </si>
  <si>
    <t>11-950-00-0000-1500-000-0000</t>
  </si>
  <si>
    <t>CCS Investment Interest</t>
  </si>
  <si>
    <t>11-950-00-0000-1900-000-0000</t>
  </si>
  <si>
    <t>CCS Local Sources</t>
  </si>
  <si>
    <t>11-950-00-0000-1911-000-2200</t>
  </si>
  <si>
    <t>McAdam Found. Grant</t>
  </si>
  <si>
    <t>11-950-00-0000-1920-000-0000</t>
  </si>
  <si>
    <t>Trip Fund Contributions/Fees</t>
  </si>
  <si>
    <t>11-950-00-0000-1999-000-0000</t>
  </si>
  <si>
    <t>E-rate Refund</t>
  </si>
  <si>
    <t>Capital Construction</t>
  </si>
  <si>
    <t>11-950-00-0000-5710-000-0000</t>
  </si>
  <si>
    <t>Transfer From Moffat Dist.</t>
  </si>
  <si>
    <t>REAP Title VI.b.</t>
  </si>
  <si>
    <t>At-Risk supplemental</t>
  </si>
  <si>
    <t>11-950-00-0000-1900-000-1003</t>
  </si>
  <si>
    <t>Gates Grant</t>
  </si>
  <si>
    <t>11-950-00-0000-3000-000-3206</t>
  </si>
  <si>
    <t>Read Act Grant</t>
  </si>
  <si>
    <t>Total Operating Revenues</t>
  </si>
  <si>
    <t>TOTAL REVENUES W/BCB</t>
  </si>
  <si>
    <t>Capital Renewal Funds</t>
  </si>
  <si>
    <t>Total Revenue Available</t>
  </si>
  <si>
    <t>11-950-00-0011-0110-201-0000</t>
  </si>
  <si>
    <t>Early Elementary Salary</t>
  </si>
  <si>
    <t>11-950-00-0011-0221-201-0000</t>
  </si>
  <si>
    <t>11-950-00-0011-0230-201-0000</t>
  </si>
  <si>
    <t>11-950-00-0011-0250-201-0000</t>
  </si>
  <si>
    <t>Fringe/Medical Insurance</t>
  </si>
  <si>
    <t>11-950-00-0011-0580-000-0000</t>
  </si>
  <si>
    <t>Field Trips &amp; Travel</t>
  </si>
  <si>
    <t>11-950-00-0011-0600-000-0000</t>
  </si>
  <si>
    <t>Teaching &amp; Enrichment Supplies</t>
  </si>
  <si>
    <t>11-950-00-0011-0640-000-0000</t>
  </si>
  <si>
    <t>Books</t>
  </si>
  <si>
    <t>TOTAL Early Elementary</t>
  </si>
  <si>
    <t>11-950-00-0012-0110-200-0000</t>
  </si>
  <si>
    <t>Teacher Salary, Primary</t>
  </si>
  <si>
    <t>11-950-00-0012-0221-200-0000</t>
  </si>
  <si>
    <t>11-950-00-0012-0230-200-0000</t>
  </si>
  <si>
    <t>11-950-00-0012-0250-200-0000</t>
  </si>
  <si>
    <t>11-950-00-0012-0580-000-0000</t>
  </si>
  <si>
    <t>11-950-00-0012-0600-000-0000</t>
  </si>
  <si>
    <t>11-950-00-0012-0640-000-0000</t>
  </si>
  <si>
    <t>TOTAL Primary</t>
  </si>
  <si>
    <t>11-950-00-0013-0110-200-0000</t>
  </si>
  <si>
    <t>Teacher Salary, Middle Sch.</t>
  </si>
  <si>
    <t>11-950-00-0013-0221-200-0000</t>
  </si>
  <si>
    <t>11-950-00-0013-0230-200-0000</t>
  </si>
  <si>
    <t>11-950-00-0013-0251-200-0000</t>
  </si>
  <si>
    <t>Fringe</t>
  </si>
  <si>
    <t>11-950-00-0013-0580-000-0000</t>
  </si>
  <si>
    <t>11-950-00-0013-0600-000-0000</t>
  </si>
  <si>
    <t>MS Teaching &amp; Enrichment Supplies</t>
  </si>
  <si>
    <t>11-950-00-0013-0640-000-0000</t>
  </si>
  <si>
    <t>TOTAL Middle School</t>
  </si>
  <si>
    <t>11-950-00-0014-0110-200-0000</t>
  </si>
  <si>
    <t>Teacher Salary, Intermediate</t>
  </si>
  <si>
    <t>11-950-00-0014-0221-200-0000</t>
  </si>
  <si>
    <t>11-950-00-0014-0230-200-0000</t>
  </si>
  <si>
    <t>11-950-00-0014-0250-200-0000</t>
  </si>
  <si>
    <t>11-950-00-0014-0580-000-0000</t>
  </si>
  <si>
    <t>11-950-00-0014-0600-000-0000</t>
  </si>
  <si>
    <t>11-950-00-0014-0640-000-0000</t>
  </si>
  <si>
    <t>TOTAL Intermediate</t>
  </si>
  <si>
    <t>11-950-00-0026-0110-200-0000</t>
  </si>
  <si>
    <t>Teacher Salary MS 7-8</t>
  </si>
  <si>
    <t>11-950-00-0026-0221-200-0000</t>
  </si>
  <si>
    <t>11-950-00-0026-0230-200-0000</t>
  </si>
  <si>
    <t>11-950-00-0026-0580-000-0000</t>
  </si>
  <si>
    <t>11-950-00-0026-0600-000-0000</t>
  </si>
  <si>
    <t>MS 7-8 Teaching &amp; Enrichment Supplies</t>
  </si>
  <si>
    <t>11-950-00-0026-0640-000-0000</t>
  </si>
  <si>
    <t>TOTAL Science</t>
  </si>
  <si>
    <t>11-950-00-0030-0110-200-0000</t>
  </si>
  <si>
    <t>LINK Teacher Salary/Reading</t>
  </si>
  <si>
    <t>11-950-00-0030-0221-200-0000</t>
  </si>
  <si>
    <t>11-950-00-0030-0230-200-0000</t>
  </si>
  <si>
    <t>11-950-00-0030-0250-201-0000</t>
  </si>
  <si>
    <t>11-950-00-0030-0580-000-0000</t>
  </si>
  <si>
    <t>11-950-00-0030-0600-000-0000</t>
  </si>
  <si>
    <t>Training &amp; Enrichment Supplies</t>
  </si>
  <si>
    <t>11-950-00-0030-0640-000-0000</t>
  </si>
  <si>
    <t>TOTAL LINK</t>
  </si>
  <si>
    <t>11-950-00-0060-0110-200-0000</t>
  </si>
  <si>
    <t>Teacher Aides: All Classes</t>
  </si>
  <si>
    <t>11-950-00-0060-0221-200-0000</t>
  </si>
  <si>
    <t>Aide Medicare</t>
  </si>
  <si>
    <t>11-950-00-0060-0230-200-0000</t>
  </si>
  <si>
    <t>Aide PERA</t>
  </si>
  <si>
    <t>Aide Fringe</t>
  </si>
  <si>
    <t>Aide Unemployment</t>
  </si>
  <si>
    <t>11-950-00-0060-0120-204-0000</t>
  </si>
  <si>
    <t>Substitutes Earnings</t>
  </si>
  <si>
    <t>Substitutes Medicare</t>
  </si>
  <si>
    <t>Substitutes PERA</t>
  </si>
  <si>
    <t>Substitutes Unemployment</t>
  </si>
  <si>
    <t>11-950-00-0060-0321-000-0000</t>
  </si>
  <si>
    <t>11-950-00-0060-0431-000-0000</t>
  </si>
  <si>
    <t>Copier Lease</t>
  </si>
  <si>
    <t>11-950-00-0060-0500-000-0000</t>
  </si>
  <si>
    <t>Professional Technical</t>
  </si>
  <si>
    <t>11-950-00-0060-0580-000-0000</t>
  </si>
  <si>
    <t>Training/development</t>
  </si>
  <si>
    <t>11-950-00-0060-0590-000-0000</t>
  </si>
  <si>
    <t>Activities:All-school</t>
  </si>
  <si>
    <t>11-950-00-0060-0600-000-0000</t>
  </si>
  <si>
    <t>Instructional Supplies</t>
  </si>
  <si>
    <t>11-950-00-0060-0600-000-2200</t>
  </si>
  <si>
    <t>McAdams Grant Supplies</t>
  </si>
  <si>
    <t>11-950-00-0060-0602-000-0000</t>
  </si>
  <si>
    <t>Physical Education/Supplies</t>
  </si>
  <si>
    <t>11-950-00-0060-0603-000-0000</t>
  </si>
  <si>
    <t>School wide furniture</t>
  </si>
  <si>
    <t>11-950-00-0060-0606-000-0000</t>
  </si>
  <si>
    <t>All School: Outdoor Educ.</t>
  </si>
  <si>
    <t>11-950-00-0060-0608-000-0000</t>
  </si>
  <si>
    <t>All school science supplies</t>
  </si>
  <si>
    <t>11-950-00-0060-0650-000-0000</t>
  </si>
  <si>
    <t>Electronic Media Materials</t>
  </si>
  <si>
    <t>11-950-00-0060-0735-000-0000</t>
  </si>
  <si>
    <t>Technology Equipment</t>
  </si>
  <si>
    <t>TOTAL 0060, Integrated Ed.</t>
  </si>
  <si>
    <t>11-950-00-0061-0120-415-0000</t>
  </si>
  <si>
    <t>HS  Math/Science</t>
  </si>
  <si>
    <t>11-950-00-0061-0221-415-0000</t>
  </si>
  <si>
    <t>HS Math Medicare</t>
  </si>
  <si>
    <t>11-950-00-0061-0230-415-0000</t>
  </si>
  <si>
    <t>HS Math PERA</t>
  </si>
  <si>
    <t>HS Math Fringe</t>
  </si>
  <si>
    <t>HS Math Unemploy</t>
  </si>
  <si>
    <t>11-950-00-0061-0600-000-0000</t>
  </si>
  <si>
    <t>Reading Supplies</t>
  </si>
  <si>
    <t xml:space="preserve">TOTAL 0061 Math </t>
  </si>
  <si>
    <t>11-950-00-0062-0120-201-0000</t>
  </si>
  <si>
    <t xml:space="preserve">Mentorship Salaries </t>
  </si>
  <si>
    <t>11-950-00-0062-0221-201-0000</t>
  </si>
  <si>
    <t>Mentorship Medicare</t>
  </si>
  <si>
    <t>11-950-00-0062-0230-201-0000</t>
  </si>
  <si>
    <t>Mentorship PERA</t>
  </si>
  <si>
    <t>Mentorship Unemployment</t>
  </si>
  <si>
    <t>11-950-00-0062-0600-000-0000</t>
  </si>
  <si>
    <t>Mentorship Supplies</t>
  </si>
  <si>
    <t>11-950-00-0062-0580-000-0000</t>
  </si>
  <si>
    <t>Mentorship Trips</t>
  </si>
  <si>
    <t>Total 0062 Mentorships</t>
  </si>
  <si>
    <t>11-950-00-0063-0110-200-0000</t>
  </si>
  <si>
    <t>Teaching Consultants</t>
  </si>
  <si>
    <t>11-950-00-0063-0221-200-0000</t>
  </si>
  <si>
    <t xml:space="preserve"> Medicare</t>
  </si>
  <si>
    <t>11-950-00-0063-0230-200-0000</t>
  </si>
  <si>
    <t xml:space="preserve"> PERA</t>
  </si>
  <si>
    <t xml:space="preserve">11-950-00-0063-0251-200-0000   </t>
  </si>
  <si>
    <t xml:space="preserve"> Fringe</t>
  </si>
  <si>
    <t xml:space="preserve"> Unemployment</t>
  </si>
  <si>
    <t>Total 0063 Teaching Consultants</t>
  </si>
  <si>
    <t>11-950-00-0091-0600-000-4358</t>
  </si>
  <si>
    <t>Total 0091 REAP</t>
  </si>
  <si>
    <t>11-950-00-2120-0110-200-0000</t>
  </si>
  <si>
    <t>Counselor Salary</t>
  </si>
  <si>
    <t>11-950-00-2120-0221-200-0000</t>
  </si>
  <si>
    <t>Counselor Medicare</t>
  </si>
  <si>
    <t>11-950-00-2120-0230-200-0000</t>
  </si>
  <si>
    <t>Counselor PERA</t>
  </si>
  <si>
    <t>Counselor Fringe</t>
  </si>
  <si>
    <t>Counselor Unemployment</t>
  </si>
  <si>
    <t>Total 2120 Counselor</t>
  </si>
  <si>
    <t>11-950-00-2213-0580-000-0000</t>
  </si>
  <si>
    <t>Instructional Staff Training</t>
  </si>
  <si>
    <t>Total 2213 Staff Development</t>
  </si>
  <si>
    <t>11-950-00-0060-0110-200-1003</t>
  </si>
  <si>
    <t>Gates Grant Salary</t>
  </si>
  <si>
    <t>11-950-00-0060-0221-200-1003</t>
  </si>
  <si>
    <t>Gates Grant Medicare</t>
  </si>
  <si>
    <t>11-950-00-0060-0230-200-1003</t>
  </si>
  <si>
    <t>Gates Grant Pera</t>
  </si>
  <si>
    <t>Gates Grant Unemployment</t>
  </si>
  <si>
    <t>11-950-00-0060-0300-000-1003</t>
  </si>
  <si>
    <t>Gates Grant Professional Services</t>
  </si>
  <si>
    <t>11-950-00-0060-0600-000-1003</t>
  </si>
  <si>
    <t>Gates Grant supplies</t>
  </si>
  <si>
    <t>11-950-00-0015-0110-415-3206</t>
  </si>
  <si>
    <t>Read Act Salary</t>
  </si>
  <si>
    <t>11-950-00-0015-0221-415-3206</t>
  </si>
  <si>
    <t>Read Act Medicare</t>
  </si>
  <si>
    <t>11-950-00-0015-0230-415-3206</t>
  </si>
  <si>
    <t>Read Act PERA</t>
  </si>
  <si>
    <t>Read Act Unemployment</t>
  </si>
  <si>
    <t>Read Act Supplies</t>
  </si>
  <si>
    <t>TOTAL General Education</t>
  </si>
  <si>
    <t>11-950-00-2300-0594-000-0000</t>
  </si>
  <si>
    <t>District Administration Costs (15%)</t>
  </si>
  <si>
    <t>Additional admin. Costs  (% of pop)</t>
  </si>
  <si>
    <t>Total District Admin. Costs</t>
  </si>
  <si>
    <t>11-950-00-2400-0110-105-0000</t>
  </si>
  <si>
    <t>Director Salary</t>
  </si>
  <si>
    <t>11-950-00-2400-0100-513-0000</t>
  </si>
  <si>
    <t>Office Manager Salary</t>
  </si>
  <si>
    <t>Business Manager Salary</t>
  </si>
  <si>
    <t>11-950-00-2400-0110-514-0000</t>
  </si>
  <si>
    <t>Office Assistant Salary</t>
  </si>
  <si>
    <t>11-950-00-2400-0221-105-0000</t>
  </si>
  <si>
    <t>Director Medicare</t>
  </si>
  <si>
    <t>11-950-00-2400-0221-513-0000</t>
  </si>
  <si>
    <t>Office Manager Medicare</t>
  </si>
  <si>
    <t>Business Manager Medicare</t>
  </si>
  <si>
    <t>11-950-00-2400-0221-514-0000</t>
  </si>
  <si>
    <t>Office Assistant  Medicare</t>
  </si>
  <si>
    <t>11-950-00-2400-0230-105-0000</t>
  </si>
  <si>
    <t>Director PERA</t>
  </si>
  <si>
    <t>11-950-00-2400-0230-513-0000</t>
  </si>
  <si>
    <t>Office Manager PERA</t>
  </si>
  <si>
    <t>Business Manager Pera</t>
  </si>
  <si>
    <t>11-950-00-2400-0230-514-0000</t>
  </si>
  <si>
    <t>Office Assistant PERA</t>
  </si>
  <si>
    <t>Director Fringe</t>
  </si>
  <si>
    <t>Office Manager Fringe</t>
  </si>
  <si>
    <t>Business Manager Fringe</t>
  </si>
  <si>
    <t>Office Assistant Fringe</t>
  </si>
  <si>
    <t>Director Unemployment</t>
  </si>
  <si>
    <t>Office Manager unemployment</t>
  </si>
  <si>
    <t>Business Manager Unemployment</t>
  </si>
  <si>
    <t>Office Assistant Unemp.</t>
  </si>
  <si>
    <t>11-950-00-2400-0300-000-0000</t>
  </si>
  <si>
    <t>Prof Services/School Admin</t>
  </si>
  <si>
    <t>11-950-00-2400-0390-000-0000</t>
  </si>
  <si>
    <t>Prof/Tech Services School Adm</t>
  </si>
  <si>
    <t>11-950-00-2400-0531-000-0000</t>
  </si>
  <si>
    <t>Telephone/Fax Services</t>
  </si>
  <si>
    <t>11-950-00-2400-0533-000-0000</t>
  </si>
  <si>
    <t>Postage</t>
  </si>
  <si>
    <t>11-950-00-2400-0540-000-0000</t>
  </si>
  <si>
    <t>Advertising</t>
  </si>
  <si>
    <t>11-950-00-2400-0580-000-0000</t>
  </si>
  <si>
    <t>Administrative Travel</t>
  </si>
  <si>
    <t>11-950-00-2400-0600-000-0000</t>
  </si>
  <si>
    <t>Office Supplies</t>
  </si>
  <si>
    <t>11-950-00-2400-0700-000-0000</t>
  </si>
  <si>
    <t>11-950-00-2400-0890-000-0000</t>
  </si>
  <si>
    <t>Admin. Other Expense</t>
  </si>
  <si>
    <t>2400 Total Administration</t>
  </si>
  <si>
    <t>11-950-00-2401-0310-000-0000</t>
  </si>
  <si>
    <t>Dues and Subscriptons</t>
  </si>
  <si>
    <t>11-950-00-2401-0331-000-0000</t>
  </si>
  <si>
    <t>Legal Services</t>
  </si>
  <si>
    <t>11-950-00-2401-0332-000-0000</t>
  </si>
  <si>
    <t>Audit</t>
  </si>
  <si>
    <t>11-950-00-2401-0580-000-0000</t>
  </si>
  <si>
    <t>Training &amp; Development</t>
  </si>
  <si>
    <t>11-950-00-2401-0581-000-0000</t>
  </si>
  <si>
    <t>Governing Coun. Meetings</t>
  </si>
  <si>
    <t>2401 Total Governing Council</t>
  </si>
  <si>
    <t>11-950-00-2600-0100-608-0000</t>
  </si>
  <si>
    <t>Additional Janitorial</t>
  </si>
  <si>
    <t>11-950-00-2600-0110-608-0000</t>
  </si>
  <si>
    <t>Janitorial/Transportation Salary</t>
  </si>
  <si>
    <t>Janitorial Fringe</t>
  </si>
  <si>
    <t>11-950-00-2600-0221-608-0000</t>
  </si>
  <si>
    <t>Janitorial Medicare</t>
  </si>
  <si>
    <t>11-950-00-2600-0230-608-0000</t>
  </si>
  <si>
    <t>Janitorial PERA</t>
  </si>
  <si>
    <t>Janitorial Unemployment</t>
  </si>
  <si>
    <t>11-950-00-2600-0320-000-0000</t>
  </si>
  <si>
    <t>Purchased Service</t>
  </si>
  <si>
    <t>11-950-00-2600-0400-000-0000</t>
  </si>
  <si>
    <t>Purchased Property</t>
  </si>
  <si>
    <t>11-950-00-2600-0410-000-0000</t>
  </si>
  <si>
    <t>Water &amp; Sanitation</t>
  </si>
  <si>
    <t>11-950-00-2600-0421-000-0000</t>
  </si>
  <si>
    <t>Disposal Services</t>
  </si>
  <si>
    <t>11-950-00-2600-0500-000-0000</t>
  </si>
  <si>
    <t>Oper/Mtce Prof. Services</t>
  </si>
  <si>
    <t>11-950-00-2600-0600-000-0000</t>
  </si>
  <si>
    <t>Maintenance Supply</t>
  </si>
  <si>
    <t>11-950-00-2600-0601-000-0000</t>
  </si>
  <si>
    <t>Cleaning Supplies</t>
  </si>
  <si>
    <t>11-950-00-2600-0622-000-0000</t>
  </si>
  <si>
    <t>Electricity</t>
  </si>
  <si>
    <t>11-950-00-2600-0623-000-0000</t>
  </si>
  <si>
    <t>Propane</t>
  </si>
  <si>
    <t>TOTAL OPER/MTCE COSTS</t>
  </si>
  <si>
    <t>11-950-00-2700-0430-000-0000</t>
  </si>
  <si>
    <t>Van Maintenance</t>
  </si>
  <si>
    <t>11-950-00-2700-0444-000-2200</t>
  </si>
  <si>
    <t>Rental/Lease of Buses Grant</t>
  </si>
  <si>
    <t>11-950-00-2700-0444-000-0000</t>
  </si>
  <si>
    <t>Rental/Lease of Buses</t>
  </si>
  <si>
    <t>11-950-00-2700-0600-000-0000</t>
  </si>
  <si>
    <t>Trans Supplies</t>
  </si>
  <si>
    <t>11-950-00-2700-0626-000-0000</t>
  </si>
  <si>
    <t>Motor Vehicle Fuels</t>
  </si>
  <si>
    <t>TOTAL Transportation Costs</t>
  </si>
  <si>
    <t>11-950-00-2701-0110-602-0000</t>
  </si>
  <si>
    <t>Activities Bus Driver</t>
  </si>
  <si>
    <t>11-950-00-2701-0221-602-0000</t>
  </si>
  <si>
    <t>Activities Bus Driver Medicare</t>
  </si>
  <si>
    <t>Activities Bus Driver PERA</t>
  </si>
  <si>
    <t>Bus Driver Unemployment</t>
  </si>
  <si>
    <t>TOTAL 2701 Bus Drivers</t>
  </si>
  <si>
    <t>11-950-00-2840-0110-200-0000</t>
  </si>
  <si>
    <t>Central Services/Information Technology</t>
  </si>
  <si>
    <t>11-950-00-2840-0221-200-0000</t>
  </si>
  <si>
    <t>IT Medicare</t>
  </si>
  <si>
    <t>11-950-00-2840-0230-200-0000</t>
  </si>
  <si>
    <t>IT Pera</t>
  </si>
  <si>
    <t>11-950-00-2840-0250-200-0000</t>
  </si>
  <si>
    <t>IT Fringe</t>
  </si>
  <si>
    <t>IT Unemployment</t>
  </si>
  <si>
    <t>TOTAL 2840 Central services</t>
  </si>
  <si>
    <t>11-950-00-2850-0526-000-0000</t>
  </si>
  <si>
    <t>Worker's Compensation</t>
  </si>
  <si>
    <t>TOTAL Insurance Costs</t>
  </si>
  <si>
    <t>11-950-00-4000-0441-000-3113</t>
  </si>
  <si>
    <t>Capital construction: leases</t>
  </si>
  <si>
    <t>11-950-00-4000-0500-000-0000</t>
  </si>
  <si>
    <t>Rental/Lease of Land/Buildings</t>
  </si>
  <si>
    <t>TOTAL Facilities/Acquisition Costs</t>
  </si>
  <si>
    <t>TOTAL EXPENDITURES</t>
  </si>
  <si>
    <t>11-950-00-9100-0990-000-0000</t>
  </si>
  <si>
    <t>Contingency Reserves</t>
  </si>
  <si>
    <t>11-950-00-9310-0990-000-0000</t>
  </si>
  <si>
    <t>Tabor Reserve</t>
  </si>
  <si>
    <t>TOTAL Reserves</t>
  </si>
  <si>
    <t>TOTAL Expenditures/w RESERVES</t>
  </si>
  <si>
    <t>Budget 2016-2017</t>
  </si>
  <si>
    <t>Actual Year End 2016-2017</t>
  </si>
  <si>
    <t>Budget 2017-2018</t>
  </si>
  <si>
    <t>Beginning Cash Balance (BCB)</t>
  </si>
  <si>
    <t>Transfers for projects</t>
  </si>
  <si>
    <t>Transfers for BEST</t>
  </si>
  <si>
    <t>43-950-00-0000-1500-000-0000</t>
  </si>
  <si>
    <t>Interest</t>
  </si>
  <si>
    <t>TOTAL Revenues and BCB</t>
  </si>
  <si>
    <t>BEST Expenditures</t>
  </si>
  <si>
    <t>43-950-00-2600-0710-000-0000</t>
  </si>
  <si>
    <t>Land</t>
  </si>
  <si>
    <t>43-950-00-2600-0720-000-0000</t>
  </si>
  <si>
    <t>Buildings</t>
  </si>
  <si>
    <t>43-950-00-2600-0730-000-0000</t>
  </si>
  <si>
    <t>43-950-00-2600-0732-000-0000</t>
  </si>
  <si>
    <t>Vehicles</t>
  </si>
  <si>
    <t>TOTAL Expenditures</t>
  </si>
  <si>
    <t>TOTAL Expenditures and Reserves</t>
  </si>
  <si>
    <t>ACCOUNT NUMBERS</t>
  </si>
  <si>
    <t>TRUST AND AGENCY FUND (ACTIVITY)</t>
  </si>
  <si>
    <t>Local Revenue Sources</t>
  </si>
  <si>
    <t>Total Revenue with BCB</t>
  </si>
  <si>
    <t>Expenditures</t>
  </si>
  <si>
    <t>TOTAL REVENUE LESS EXPENDITURES</t>
  </si>
  <si>
    <t>869</t>
  </si>
  <si>
    <t>Indirect Grant Costs - Title I</t>
  </si>
  <si>
    <t>Indirect Grant Costs - Title II</t>
  </si>
  <si>
    <t>Indirect Grant Costs - Title IV</t>
  </si>
  <si>
    <t>1450</t>
  </si>
  <si>
    <t>Other Revenue Local - WISH/AIM Grant</t>
  </si>
  <si>
    <t>1800</t>
  </si>
  <si>
    <t>540</t>
  </si>
  <si>
    <t>MS Athletic Advertising</t>
  </si>
  <si>
    <t>610</t>
  </si>
  <si>
    <t>MS Athletic General Supplies</t>
  </si>
  <si>
    <t xml:space="preserve">HS Language Textbooks              </t>
  </si>
  <si>
    <t xml:space="preserve">Trust And Agency Revenues MCS      </t>
  </si>
  <si>
    <t xml:space="preserve">Trust &amp; Agency Expenditures MCS         </t>
  </si>
  <si>
    <t xml:space="preserve">Substitute Medicare                        </t>
  </si>
  <si>
    <t>Substitute Unemployment</t>
  </si>
  <si>
    <t>357</t>
  </si>
  <si>
    <t xml:space="preserve">O/M Facilities Director Salary                     </t>
  </si>
  <si>
    <t xml:space="preserve">O/M Custodial Salary                     </t>
  </si>
  <si>
    <t xml:space="preserve">O/M Custodial Manager Salary                     </t>
  </si>
  <si>
    <t xml:space="preserve">O/M Facilities Director Inc Prot/Life                 </t>
  </si>
  <si>
    <t xml:space="preserve">O/M Custodial Inc Prot/Life                 </t>
  </si>
  <si>
    <t xml:space="preserve">O/M Custodial Manager Prot/Life            </t>
  </si>
  <si>
    <t>Unemployment - Custodial</t>
  </si>
  <si>
    <t>Unemployment - Custodial Manager</t>
  </si>
  <si>
    <t>Unemployment - Facilities Director</t>
  </si>
  <si>
    <t xml:space="preserve">O/M Facilities Director Medicare                 </t>
  </si>
  <si>
    <t xml:space="preserve">O/M Custodial Medicare                  </t>
  </si>
  <si>
    <t xml:space="preserve">O/M Custodial Manager Medicare                 </t>
  </si>
  <si>
    <t xml:space="preserve">O/M Facilities Director PERA                 </t>
  </si>
  <si>
    <t xml:space="preserve">O/M Custodial Manager PERA                     </t>
  </si>
  <si>
    <t xml:space="preserve">O/M Facilities Director Fringe                   </t>
  </si>
  <si>
    <t xml:space="preserve">O/M Custodial Manager Fringe                   </t>
  </si>
  <si>
    <t xml:space="preserve">BOCES Admin Grant                  </t>
  </si>
  <si>
    <t xml:space="preserve">Sped BOCES Travel                   </t>
  </si>
  <si>
    <t xml:space="preserve">Sped BOCES Shared Costs             </t>
  </si>
  <si>
    <t xml:space="preserve">Sped BOCES Supplies                 </t>
  </si>
  <si>
    <t xml:space="preserve">Guidance Supplies - Snack Program Grant    </t>
  </si>
  <si>
    <t>640</t>
  </si>
  <si>
    <t>Unemployment - Drivers</t>
  </si>
  <si>
    <t xml:space="preserve">Transp Director               </t>
  </si>
  <si>
    <t xml:space="preserve">Transp Director Inc Prot/life Ins      </t>
  </si>
  <si>
    <t xml:space="preserve">Transp Drivers Medicare                 </t>
  </si>
  <si>
    <t xml:space="preserve">Transp Director Medicare               </t>
  </si>
  <si>
    <t xml:space="preserve">Transp Drivers PERA                 </t>
  </si>
  <si>
    <t xml:space="preserve">Transp Director PERA                  </t>
  </si>
  <si>
    <t xml:space="preserve">Transp Drivers Fringe                   </t>
  </si>
  <si>
    <t xml:space="preserve">Transp Director Fringe                 </t>
  </si>
  <si>
    <t>Unemployment - Transp Director</t>
  </si>
  <si>
    <t>Beginnning Fund Balance</t>
  </si>
  <si>
    <t>2322 Total</t>
  </si>
  <si>
    <t>2322</t>
  </si>
  <si>
    <t xml:space="preserve">WISH/AIM Coordinator Salary            </t>
  </si>
  <si>
    <t xml:space="preserve">WISH/AIM Coordinator Inc Prot/life Ins      </t>
  </si>
  <si>
    <t xml:space="preserve">WISH/AIM Medicare                </t>
  </si>
  <si>
    <t xml:space="preserve">WISH/AIM Coordinator Pera              </t>
  </si>
  <si>
    <t>WISH/AIM Coordinator Unemployment</t>
  </si>
  <si>
    <t xml:space="preserve">WISH/AIM Coordinator Fringe            </t>
  </si>
  <si>
    <t xml:space="preserve">District Secretary Salary            </t>
  </si>
  <si>
    <t xml:space="preserve">District Secretary Inc Prot/life Ins      </t>
  </si>
  <si>
    <t>District Secretary Unemployment</t>
  </si>
  <si>
    <t xml:space="preserve">District Secretary Medicare                </t>
  </si>
  <si>
    <t>2329</t>
  </si>
  <si>
    <t>601</t>
  </si>
  <si>
    <t>2840</t>
  </si>
  <si>
    <t>103</t>
  </si>
  <si>
    <t>2500</t>
  </si>
  <si>
    <t>AIM/WISH Unemployment</t>
  </si>
  <si>
    <t>AIM/WISH Medicare</t>
  </si>
  <si>
    <t>AIM/WISH Pera</t>
  </si>
  <si>
    <t>WISH/AIM Travel &amp; Training</t>
  </si>
  <si>
    <t xml:space="preserve">WISH/AIM Supplies                      </t>
  </si>
  <si>
    <t>407</t>
  </si>
  <si>
    <t>WISH/AIM Taskforce Member Stipends</t>
  </si>
  <si>
    <t>Health Professional - AIM/WISH Grant</t>
  </si>
  <si>
    <t>2017-18</t>
  </si>
  <si>
    <t>Bookkeeping Stipend AIM/WISH Grant</t>
  </si>
  <si>
    <t>Current Property Taxes - Moffat</t>
  </si>
  <si>
    <t xml:space="preserve">Beginning Fund Balance - CCS         </t>
  </si>
  <si>
    <t xml:space="preserve">Beginning Fund Balance - Moffat          </t>
  </si>
  <si>
    <t xml:space="preserve">Interest On Del Taxes - Moffat         </t>
  </si>
  <si>
    <t xml:space="preserve">Current Property Taxes - CCS                  </t>
  </si>
  <si>
    <t xml:space="preserve">Interest On Del Taxes - CCS          </t>
  </si>
  <si>
    <t>Earnings on Investments - Moffat</t>
  </si>
  <si>
    <t xml:space="preserve">Earnings on Investments - CCS            </t>
  </si>
  <si>
    <t xml:space="preserve">Interest - Moffat Bond                          </t>
  </si>
  <si>
    <t xml:space="preserve">Interest - CCS Bond                </t>
  </si>
  <si>
    <t xml:space="preserve">Escrow Agent Fees - Moffat                  </t>
  </si>
  <si>
    <t xml:space="preserve">Principal - Moffat Bond                          </t>
  </si>
  <si>
    <t xml:space="preserve">Principal - CCS Bond                     </t>
  </si>
  <si>
    <t xml:space="preserve">Reserves - Moffat                        </t>
  </si>
  <si>
    <t xml:space="preserve">Escrow Agent Fees - CCS              </t>
  </si>
  <si>
    <t>MCS BEST Current amount to Reserve</t>
  </si>
  <si>
    <t xml:space="preserve">MCS BEST Cap Renew Reserve Beg Bal </t>
  </si>
  <si>
    <t>613</t>
  </si>
  <si>
    <t>Salaries - Kitchen Staff</t>
  </si>
  <si>
    <t>Life &amp; Disability Insurance - Manager</t>
  </si>
  <si>
    <t>Life &amp; Disability Insurance - Staff</t>
  </si>
  <si>
    <t>Unemployment - Kitchen Staff</t>
  </si>
  <si>
    <t>Unemployment - Food Service Manager</t>
  </si>
  <si>
    <t>Salaries - Food Service Manager</t>
  </si>
  <si>
    <t>Medicare - Food Service Manager</t>
  </si>
  <si>
    <t>Pera/Retirement Contributions - Staff</t>
  </si>
  <si>
    <t>Pera/Retirement Contributions - Manager</t>
  </si>
  <si>
    <t>Health Benefits - Food Service Manager</t>
  </si>
  <si>
    <t>Health Benefits - Kitchen Staff</t>
  </si>
  <si>
    <t xml:space="preserve">Business Office Salary            </t>
  </si>
  <si>
    <t xml:space="preserve">Business Office Medicare                </t>
  </si>
  <si>
    <t xml:space="preserve">Business Office Pera              </t>
  </si>
  <si>
    <t xml:space="preserve">Business Office Fringe            </t>
  </si>
  <si>
    <t xml:space="preserve">Business Office Inc Prot/life Ins      </t>
  </si>
  <si>
    <t>92</t>
  </si>
  <si>
    <t>READ Act Supplies</t>
  </si>
  <si>
    <t>92 Total</t>
  </si>
  <si>
    <t>734</t>
  </si>
  <si>
    <t>Comp Tech Equipment - WISH Grant</t>
  </si>
  <si>
    <t>3140</t>
  </si>
  <si>
    <t>ELPA - Professional Development</t>
  </si>
  <si>
    <t>ELPA - Supplies</t>
  </si>
  <si>
    <t>1441</t>
  </si>
  <si>
    <t>Field Trip Travel Expense - Hamilton</t>
  </si>
  <si>
    <t>Revenues over/under Expenditures and Allocations</t>
  </si>
  <si>
    <t>2016-17</t>
  </si>
  <si>
    <t>21                          Food Service</t>
  </si>
  <si>
    <t xml:space="preserve">     </t>
  </si>
  <si>
    <t>Link medicare</t>
  </si>
  <si>
    <t>Budget 2018-2019</t>
  </si>
  <si>
    <t>CAPITAL PROJECTS</t>
  </si>
  <si>
    <t xml:space="preserve">Library Director Salary                </t>
  </si>
  <si>
    <t xml:space="preserve">Library Director Inc Prot/life         </t>
  </si>
  <si>
    <t xml:space="preserve">Library Director Medicare              </t>
  </si>
  <si>
    <t xml:space="preserve">Library Director Fringe                </t>
  </si>
  <si>
    <t>Title I Aide Salary</t>
  </si>
  <si>
    <t>Title I Aide Prot/life</t>
  </si>
  <si>
    <t>Title I Aide Unemployment</t>
  </si>
  <si>
    <t>Title I Aide Pera</t>
  </si>
  <si>
    <t>SCHOOL DISTRICT:  MOFFAT CONS #2</t>
  </si>
  <si>
    <t>Kindergarten ECARE Prof-Ed Services</t>
  </si>
  <si>
    <t>Kindergarten ECARE Supplies</t>
  </si>
  <si>
    <t xml:space="preserve">Kindergarten ECARE Aide Salary                     </t>
  </si>
  <si>
    <t xml:space="preserve">Kindergarten ECARE Aide Unempl                     </t>
  </si>
  <si>
    <t xml:space="preserve">Kindergarten ECARE Aide Medicare                   </t>
  </si>
  <si>
    <t xml:space="preserve">Kindergarten ECARE Aide PERA                       </t>
  </si>
  <si>
    <t xml:space="preserve">Guidance Supplies - At Risk                  </t>
  </si>
  <si>
    <t>2nd Grade Teacher Aide Salary</t>
  </si>
  <si>
    <t>2nd Grade Medicare - Aide</t>
  </si>
  <si>
    <t>2nd Grade Pera - Aide</t>
  </si>
  <si>
    <t>Food - FFV</t>
  </si>
  <si>
    <t xml:space="preserve">Library Director PERA                  </t>
  </si>
  <si>
    <t xml:space="preserve">Interest On Delinquent Taxes             </t>
  </si>
  <si>
    <t>ELPA - PD</t>
  </si>
  <si>
    <t>BOCES Fee/Other Purchased Services</t>
  </si>
  <si>
    <r>
      <rPr>
        <b/>
        <sz val="19"/>
        <color theme="1"/>
        <rFont val="Arial"/>
        <family val="2"/>
      </rPr>
      <t xml:space="preserve">REVENUE FY 17-18   </t>
    </r>
    <r>
      <rPr>
        <b/>
        <sz val="20"/>
        <color theme="1"/>
        <rFont val="Arial"/>
        <family val="2"/>
      </rPr>
      <t xml:space="preserve"> ACTUAL</t>
    </r>
  </si>
  <si>
    <r>
      <rPr>
        <b/>
        <sz val="19"/>
        <color theme="1"/>
        <rFont val="Arial"/>
        <family val="2"/>
      </rPr>
      <t xml:space="preserve">EXPENDITURES            FY 17-18   </t>
    </r>
    <r>
      <rPr>
        <b/>
        <sz val="20"/>
        <color theme="1"/>
        <rFont val="Arial"/>
        <family val="2"/>
      </rPr>
      <t xml:space="preserve"> ACTUAL</t>
    </r>
  </si>
  <si>
    <t>1442</t>
  </si>
  <si>
    <t>1443</t>
  </si>
  <si>
    <t>1444</t>
  </si>
  <si>
    <t>3200</t>
  </si>
  <si>
    <t>3160</t>
  </si>
  <si>
    <t>Transportation Adjustment</t>
  </si>
  <si>
    <t>5221</t>
  </si>
  <si>
    <t>105</t>
  </si>
  <si>
    <t>0110</t>
  </si>
  <si>
    <t>Nurse Salary</t>
  </si>
  <si>
    <t>1460</t>
  </si>
  <si>
    <t>Health Professional - Aventa Grant</t>
  </si>
  <si>
    <t>233</t>
  </si>
  <si>
    <t xml:space="preserve">Title I Equipment   </t>
  </si>
  <si>
    <t>Title II - Equipment</t>
  </si>
  <si>
    <t>Title IV - Supplies/Technology</t>
  </si>
  <si>
    <t>Title IV - Music Supplies</t>
  </si>
  <si>
    <t>2122</t>
  </si>
  <si>
    <t>Title IV - Restorative Practices Supplies</t>
  </si>
  <si>
    <t>150</t>
  </si>
  <si>
    <t>Title IV - Extra Duty Stipend</t>
  </si>
  <si>
    <t>Title IV - Supplies/Drama</t>
  </si>
  <si>
    <t xml:space="preserve">Title IV - Medicare           </t>
  </si>
  <si>
    <t>Title IV - Unemployment</t>
  </si>
  <si>
    <t xml:space="preserve">Title IV - Pera               </t>
  </si>
  <si>
    <t>EARSS Grant</t>
  </si>
  <si>
    <t>3183</t>
  </si>
  <si>
    <t>602</t>
  </si>
  <si>
    <t xml:space="preserve">Transportation Stipend - EARSS Grant          </t>
  </si>
  <si>
    <t xml:space="preserve">Medicare - EARSS Grant              </t>
  </si>
  <si>
    <t>PERA - EARSS Grant</t>
  </si>
  <si>
    <t>Restorative Practices - Prof Serv - EARSS</t>
  </si>
  <si>
    <t>Restorative Practices - Supplies - EARSS</t>
  </si>
  <si>
    <t>2122 Total</t>
  </si>
  <si>
    <t>405</t>
  </si>
  <si>
    <t>Family Ambassador Stipend - EARSS</t>
  </si>
  <si>
    <t>Family Ambassador Unempl - EARSS</t>
  </si>
  <si>
    <t>Family Ambassador Medicare - EARSS</t>
  </si>
  <si>
    <t>Family Ambassador PERA - EARSS</t>
  </si>
  <si>
    <t>Parent Engagement Supplies - EARSS</t>
  </si>
  <si>
    <t>WISH/AIM Taskforce Unemployment</t>
  </si>
  <si>
    <t xml:space="preserve">WISH/AIM Taskforce Medicare                </t>
  </si>
  <si>
    <t xml:space="preserve">WISH/AIM Taskforce Pera              </t>
  </si>
  <si>
    <t xml:space="preserve">WISH/AIM Prof Services - Taskforce Stipends      </t>
  </si>
  <si>
    <t xml:space="preserve">Art Supplies - Sales Tax Grant               </t>
  </si>
  <si>
    <t>1985</t>
  </si>
  <si>
    <t>Insurance Claim Revenue</t>
  </si>
  <si>
    <t>1310</t>
  </si>
  <si>
    <t>Tuition Revenue</t>
  </si>
  <si>
    <t>Nurse - Unemployment</t>
  </si>
  <si>
    <t>Nurse - Medicare</t>
  </si>
  <si>
    <t>Nurse - PERA</t>
  </si>
  <si>
    <t>PreSchool Nurse - Salary</t>
  </si>
  <si>
    <t>PreSchool Nurse - Unemployment</t>
  </si>
  <si>
    <t>PreSchool Nurse - Medicare</t>
  </si>
  <si>
    <t>PreSchool Nurse - PERA</t>
  </si>
  <si>
    <t>2230</t>
  </si>
  <si>
    <t>107</t>
  </si>
  <si>
    <t>CPP Coordinator Stipend</t>
  </si>
  <si>
    <t>415</t>
  </si>
  <si>
    <t xml:space="preserve">PS Aide Substitute Salary               </t>
  </si>
  <si>
    <t>CPP Coordinator - Unemployment</t>
  </si>
  <si>
    <t>CPP Coordinator - Medicare</t>
  </si>
  <si>
    <t>CPP Coordinator - PERA</t>
  </si>
  <si>
    <t>Other Uses of Funds (Reserve)</t>
  </si>
  <si>
    <t>Other Revenue Local - Aventa Grant</t>
  </si>
  <si>
    <t>Music Unemployment</t>
  </si>
  <si>
    <t>3230</t>
  </si>
  <si>
    <t xml:space="preserve">IA Supplies - SRLR                        </t>
  </si>
  <si>
    <t>416</t>
  </si>
  <si>
    <t xml:space="preserve">Sped Aide Substitute                    </t>
  </si>
  <si>
    <t xml:space="preserve">Special Ed Aide Salary              </t>
  </si>
  <si>
    <t>506</t>
  </si>
  <si>
    <t>BOE Secretary - Extra Duty Stipend</t>
  </si>
  <si>
    <t>BOE Secretary - Unemployment</t>
  </si>
  <si>
    <t>BOE Secretary - Medicare</t>
  </si>
  <si>
    <t>BOE Secretary - PERA</t>
  </si>
  <si>
    <t xml:space="preserve">Prof &amp; Tech - SRLR                       </t>
  </si>
  <si>
    <t xml:space="preserve">District Secretary Pera              </t>
  </si>
  <si>
    <t xml:space="preserve">District Secretary Fringe            </t>
  </si>
  <si>
    <t>41 Building Fund Revenue</t>
  </si>
  <si>
    <t xml:space="preserve">Beginning Fund Balance      </t>
  </si>
  <si>
    <t>41</t>
  </si>
  <si>
    <t>3189</t>
  </si>
  <si>
    <t>BEST Grant Revenue</t>
  </si>
  <si>
    <t>41 Total Revenues</t>
  </si>
  <si>
    <t>Equipment - BEST Grant</t>
  </si>
  <si>
    <t>41 Building Fund Expenditure</t>
  </si>
  <si>
    <t>41 Total Expenditures</t>
  </si>
  <si>
    <t xml:space="preserve">Prof &amp; Tech Service - SRLR                </t>
  </si>
  <si>
    <t xml:space="preserve">Kindergarten Inc Prot/life Ins  </t>
  </si>
  <si>
    <t>Adult Meals</t>
  </si>
  <si>
    <t>Commodities Received</t>
  </si>
  <si>
    <t xml:space="preserve">Comp Tech Equipment - SRLR                </t>
  </si>
  <si>
    <t xml:space="preserve">Transp Equipment - SRLR                  </t>
  </si>
  <si>
    <t xml:space="preserve">School Wide Textbooks - SRLR    </t>
  </si>
  <si>
    <t>PS Teacher - Extra Duty</t>
  </si>
  <si>
    <t xml:space="preserve">Extra Duty Pay - Running Club                 </t>
  </si>
  <si>
    <t>Unemployment - Running Club</t>
  </si>
  <si>
    <t xml:space="preserve">Medicare - Running Club                </t>
  </si>
  <si>
    <t xml:space="preserve">PERA - Running Club                   </t>
  </si>
  <si>
    <t xml:space="preserve">Running Club Supplies          </t>
  </si>
  <si>
    <t xml:space="preserve">BOCES Grant    </t>
  </si>
  <si>
    <t>2320</t>
  </si>
  <si>
    <t>3204</t>
  </si>
  <si>
    <t>Supt. Travel - BOCES</t>
  </si>
  <si>
    <t xml:space="preserve">School Wide Supplies - SRLR             </t>
  </si>
  <si>
    <t xml:space="preserve">Phy. Ed. Equipment - SRLR             </t>
  </si>
  <si>
    <t xml:space="preserve">Sch Adm Supplies - SRLR                   </t>
  </si>
  <si>
    <t xml:space="preserve">HS Supplies - SRLR                  </t>
  </si>
  <si>
    <t xml:space="preserve">MS Science Supplies - SRLR            </t>
  </si>
  <si>
    <t>Staff Development - Salary</t>
  </si>
  <si>
    <t xml:space="preserve">Staff Development - Unemployment               </t>
  </si>
  <si>
    <t xml:space="preserve">Staff Development - Medicare            </t>
  </si>
  <si>
    <t xml:space="preserve">Staff Development - PERA    </t>
  </si>
  <si>
    <t xml:space="preserve">Supt. Dues And Fees - BOCES                </t>
  </si>
  <si>
    <t xml:space="preserve">Sch Adm Equipment - SRLR         </t>
  </si>
  <si>
    <t>O/M Travel</t>
  </si>
  <si>
    <t>Other Revenue Local - Sales Tax Grant-Art</t>
  </si>
  <si>
    <t>Other Revenue Local - Sales Tax Grant-Run</t>
  </si>
  <si>
    <t>Other Revenue Local - Sales Tax Grant-Snack</t>
  </si>
  <si>
    <t>Other Revenue Local - Sales Tax Grant-O/M</t>
  </si>
  <si>
    <t xml:space="preserve">HS Science Supplies - SRLR             </t>
  </si>
  <si>
    <t xml:space="preserve">Art Supplies - SRLR             </t>
  </si>
  <si>
    <t xml:space="preserve">Supt. Supplies - SRLR                  </t>
  </si>
  <si>
    <t xml:space="preserve">Equipment - SRLR                     </t>
  </si>
  <si>
    <t>O/M Equipment - SRLR</t>
  </si>
  <si>
    <t xml:space="preserve">O/M Prof Serv. - SRLR                    </t>
  </si>
  <si>
    <t xml:space="preserve">Library Equipment - SRLR         </t>
  </si>
  <si>
    <t xml:space="preserve">Student Activity Supplies - SRLR   </t>
  </si>
  <si>
    <t xml:space="preserve">IA Equipment - SRLR                    </t>
  </si>
  <si>
    <t>Reserve Balance</t>
  </si>
  <si>
    <t>Actuals Year End 2017-2018</t>
  </si>
  <si>
    <t>11-950-00-0000-4000-000-4010</t>
  </si>
  <si>
    <t xml:space="preserve">Title I </t>
  </si>
  <si>
    <t>11-950-00-0000-4000-000-4367</t>
  </si>
  <si>
    <t>Title II</t>
  </si>
  <si>
    <t xml:space="preserve">Title IV </t>
  </si>
  <si>
    <t>11-950-00-0000-3000-000-3230</t>
  </si>
  <si>
    <t xml:space="preserve">Small Rural &amp; Large Rural School </t>
  </si>
  <si>
    <t>11-950-00-0000-4010-000-7665</t>
  </si>
  <si>
    <t>Secure Rural Schools</t>
  </si>
  <si>
    <t>11-950-00-0000-3000-000-3183</t>
  </si>
  <si>
    <t>11-950-00-0030-0300-000-4010</t>
  </si>
  <si>
    <t>Title I concurrent enrollment</t>
  </si>
  <si>
    <t>11-950-00-0060-0221-204-0000</t>
  </si>
  <si>
    <t>11-950-00-0060-0230-204-0000</t>
  </si>
  <si>
    <t>Title IV Technology</t>
  </si>
  <si>
    <t>Title IV Art &amp; Music Supplies</t>
  </si>
  <si>
    <t>11-950-00-2210-0350-000-4367</t>
  </si>
  <si>
    <t>Title II- Training &amp; Developement</t>
  </si>
  <si>
    <t>11-950-00-2210-0605-000-4367</t>
  </si>
  <si>
    <t>Title II- Supplies</t>
  </si>
  <si>
    <t>Total 0064 Title II</t>
  </si>
  <si>
    <t xml:space="preserve">11-950-00-2122-0110-211-3183 </t>
  </si>
  <si>
    <t>EARSS Grant Salary/Facilitator</t>
  </si>
  <si>
    <t>11-950-00-2122-0250-211-3183</t>
  </si>
  <si>
    <t>EARSS Grant Medicare</t>
  </si>
  <si>
    <t>11-950-00-2122-0230-211-3183</t>
  </si>
  <si>
    <t>EARSS Grant PERA</t>
  </si>
  <si>
    <t>11-950-00-2122-0215-211-3183</t>
  </si>
  <si>
    <t>EARSS Grant Unemployment</t>
  </si>
  <si>
    <t>EARSS Facilitator fringe/health</t>
  </si>
  <si>
    <t>11-950-00-2122-0210-211-3183</t>
  </si>
  <si>
    <t>EARSS grant Tutor salary</t>
  </si>
  <si>
    <t>EARSS tutor Medicare</t>
  </si>
  <si>
    <t>11-950-00-0067-0230-211-3183</t>
  </si>
  <si>
    <t>EARSS tutor Pera</t>
  </si>
  <si>
    <t>11-950-00-0067-0215-211-3183</t>
  </si>
  <si>
    <t>EARSS tutor unemployment</t>
  </si>
  <si>
    <t>11-950-00-2120-0150-405-3183</t>
  </si>
  <si>
    <t>EARSS family ambass Salary</t>
  </si>
  <si>
    <t>EARSS family Ambass Medicare</t>
  </si>
  <si>
    <t>11-950-00-2120-0230-405-3183</t>
  </si>
  <si>
    <t>EARSS family ambass PERA</t>
  </si>
  <si>
    <t>11-950-00-2120-0215-405-3183</t>
  </si>
  <si>
    <t>EARSS family ambass unemp</t>
  </si>
  <si>
    <t>EARRS Family engagement sup.</t>
  </si>
  <si>
    <t>11-950-00-0067-0500-000-3183</t>
  </si>
  <si>
    <t>EARSS Curriculum &amp; Implement</t>
  </si>
  <si>
    <t>11-950-00-0067-0600-000-3183</t>
  </si>
  <si>
    <t>EARSS Transportation</t>
  </si>
  <si>
    <t>TOTAL 0067 EARSS GRANT</t>
  </si>
  <si>
    <t>11-950-00-0068-0600-000-3230</t>
  </si>
  <si>
    <t>Small &amp; Large Rural Schools supplies</t>
  </si>
  <si>
    <t>TOTAL 0068 SLRS</t>
  </si>
  <si>
    <t xml:space="preserve">PS Travel/Professional Development                          </t>
  </si>
  <si>
    <t>BUDGET           FY 18-19        ADOPTED</t>
  </si>
  <si>
    <t>BUDGET                       FY 19-20 REVISED</t>
  </si>
  <si>
    <t>DIFFERENCE                        FY 18-19 &amp;         FY 19-20</t>
  </si>
  <si>
    <t>BUDGET          FY 18-19        ADOPTED</t>
  </si>
  <si>
    <t>BUDGET           FY 19-20 FINAL</t>
  </si>
  <si>
    <t>1445</t>
  </si>
  <si>
    <t>1446</t>
  </si>
  <si>
    <t>Other Revenue Local - Sales Tax Grant-Uniforms</t>
  </si>
  <si>
    <t>Other Revenue Local - Sales Tax Grant-Archery</t>
  </si>
  <si>
    <t>2018-19</t>
  </si>
  <si>
    <t>1/3 of Jack</t>
  </si>
  <si>
    <t>1/2 of Christine</t>
  </si>
  <si>
    <t>2/3 of Melinda</t>
  </si>
  <si>
    <t>1/2 Kayla</t>
  </si>
  <si>
    <t>Megan</t>
  </si>
  <si>
    <t>Linda</t>
  </si>
  <si>
    <t>1/2 Sarah</t>
  </si>
  <si>
    <t>1/2 Nadine</t>
  </si>
  <si>
    <t>1/2 Lori</t>
  </si>
  <si>
    <t>2/3 Glenn</t>
  </si>
  <si>
    <t>5/6 Rachel</t>
  </si>
  <si>
    <t>Will &amp; 1/2 Jack</t>
  </si>
  <si>
    <t>Peter</t>
  </si>
  <si>
    <t>Patte</t>
  </si>
  <si>
    <t>Dale H</t>
  </si>
  <si>
    <t xml:space="preserve">Attendance Aide Salary                   </t>
  </si>
  <si>
    <t xml:space="preserve">Attendance Aide Prot/life Ins        </t>
  </si>
  <si>
    <t>Unemployment - Attendance Aide</t>
  </si>
  <si>
    <t>Unemployment - Principal</t>
  </si>
  <si>
    <t>Unemployment - Secretary</t>
  </si>
  <si>
    <t>Attendance Aide Medicare</t>
  </si>
  <si>
    <t xml:space="preserve">Attendance Aide Pera                     </t>
  </si>
  <si>
    <t>Attendance Aide Fringe</t>
  </si>
  <si>
    <t>Melissa</t>
  </si>
  <si>
    <t xml:space="preserve">Pueblo/Alamosa Youth Detention Center      </t>
  </si>
  <si>
    <t>Virginia</t>
  </si>
  <si>
    <t>Zach S</t>
  </si>
  <si>
    <t>Jodi &amp; Melanie</t>
  </si>
  <si>
    <t>1/3 Glenn</t>
  </si>
  <si>
    <t>Brian</t>
  </si>
  <si>
    <t>Haven</t>
  </si>
  <si>
    <t xml:space="preserve">MS Uniforms - Sales Tax Grant              </t>
  </si>
  <si>
    <t>Unemployment - EARSS Grant</t>
  </si>
  <si>
    <t>Christina</t>
  </si>
  <si>
    <t xml:space="preserve">Elem Spanish Teacher Salary           </t>
  </si>
  <si>
    <t xml:space="preserve">Elem Spanish Substitute               </t>
  </si>
  <si>
    <t>Elem Spanish Inc Prot/life Ins</t>
  </si>
  <si>
    <t>Elem Spanish Unemployment</t>
  </si>
  <si>
    <t xml:space="preserve">Elem Spanish Medicare                 </t>
  </si>
  <si>
    <t xml:space="preserve">Elem Spanish Pera                     </t>
  </si>
  <si>
    <t xml:space="preserve">Elem Spanish Fringe               </t>
  </si>
  <si>
    <t xml:space="preserve">Elem Spanish Supplies                 </t>
  </si>
  <si>
    <t>1/3 Christine</t>
  </si>
  <si>
    <t xml:space="preserve">MS Spanish Teacher                     </t>
  </si>
  <si>
    <t xml:space="preserve">MS Spanish Substitute                  </t>
  </si>
  <si>
    <t xml:space="preserve">MS Spanish Inc Prot/life Ins           </t>
  </si>
  <si>
    <t>MS Spanish Unemployment</t>
  </si>
  <si>
    <t xml:space="preserve">MS Spanish Medicare                    </t>
  </si>
  <si>
    <t xml:space="preserve">MS Spanish PERA                        </t>
  </si>
  <si>
    <t xml:space="preserve">MS Spanish Fringe                      </t>
  </si>
  <si>
    <t xml:space="preserve">MS Spanish Supplies                    </t>
  </si>
  <si>
    <t>1/6 Christine</t>
  </si>
  <si>
    <t>11-950-00-0000-1900-000-1430</t>
  </si>
  <si>
    <t>Conservation Trust Grant</t>
  </si>
  <si>
    <t>11-950-00-0000-1900-000-1440</t>
  </si>
  <si>
    <t>Saguache County Sales Grant</t>
  </si>
  <si>
    <t>Professional Services/Education</t>
  </si>
  <si>
    <t>11-950-00-0060-0320-000-4010</t>
  </si>
  <si>
    <t>Title I Extended Learning</t>
  </si>
  <si>
    <t>11-950-00-2210-0110-400-4367</t>
  </si>
  <si>
    <t>Title II- Salary</t>
  </si>
  <si>
    <t>11-950-00-2210-0221-400-4367</t>
  </si>
  <si>
    <t>Title II- Medicare</t>
  </si>
  <si>
    <t>11-950-00-2210-0230-400-4367</t>
  </si>
  <si>
    <t>Title II- Pera</t>
  </si>
  <si>
    <t>11-950-00-2210-0525-400-4367</t>
  </si>
  <si>
    <t>Title II- Unemployment</t>
  </si>
  <si>
    <t>EARSS Facilitir fringe/life</t>
  </si>
  <si>
    <t>11-950-00-0067-0250-211-3183</t>
  </si>
  <si>
    <t>EARSS Training</t>
  </si>
  <si>
    <t>Difference</t>
  </si>
  <si>
    <t>Actuals Year End June 30 2018</t>
  </si>
  <si>
    <t>Actual Year End June 30, 2018</t>
  </si>
  <si>
    <t>FY2019-20 SUMMARY BUDGET</t>
  </si>
  <si>
    <t>FY2019-2020 Budget</t>
  </si>
  <si>
    <t>2019-20 Budget</t>
  </si>
  <si>
    <t>Be it resolved by the Board of Education of Moffat Consolidated School District #2 in Saguache County that the amounts shown in the following schedule be appropriated to each fund as specified in the 2019-2020 Budget for the ensuing fiscal year beginning July 1, 2019 and ending June 30, 2020.</t>
  </si>
  <si>
    <t xml:space="preserve">Be it resolved by the Board of Education of Moffat Consolidated School District Number 2 in Saguache County, Colorado that the amounts of beginning cash balance shown in the following schedule be approved for use in the 2019-2020 budget.  A portion or all of the beginning cash balances are routinely budgeted and appropriated for use in the District in order to incorporate the concept of budgeting expenses high and revenues low thereby avoiding overspending the budget which would create a law violation.  </t>
  </si>
  <si>
    <t>After School Program</t>
  </si>
  <si>
    <t>Dale S Benefits</t>
  </si>
  <si>
    <t>Concurrent Enrollment</t>
  </si>
  <si>
    <t>Homeless Supplies</t>
  </si>
  <si>
    <t>Title IV - Art Supplies</t>
  </si>
  <si>
    <t>Ava</t>
  </si>
  <si>
    <t xml:space="preserve">Kindergarten ECARE Life &amp; Disability                    </t>
  </si>
  <si>
    <t xml:space="preserve">Kindergarten ECARE Aide Health                       </t>
  </si>
  <si>
    <t>Lisa &amp; 1/6 Jack</t>
  </si>
  <si>
    <t>Lucille</t>
  </si>
  <si>
    <t>Projected 2019-20 (6/24/19)</t>
  </si>
  <si>
    <t>1451</t>
  </si>
  <si>
    <t xml:space="preserve">Archery Equipment - Sales Tax Grant            </t>
  </si>
  <si>
    <t xml:space="preserve">Archery Maintenance - MIH Grant                </t>
  </si>
  <si>
    <t>Other Revenue Local - MIH Grant</t>
  </si>
  <si>
    <t>Bookkeeping Stipend MIH Grant</t>
  </si>
  <si>
    <t>MIH Unemployment</t>
  </si>
  <si>
    <t>MIH Medicare</t>
  </si>
  <si>
    <t>MIH Pera</t>
  </si>
  <si>
    <t>Virginia (July-Sept)</t>
  </si>
  <si>
    <t xml:space="preserve">MIH Wellness Coordinator Salary            </t>
  </si>
  <si>
    <t>Virginia (Oct-June)</t>
  </si>
  <si>
    <t xml:space="preserve">MIH Wellness Coordinator Inc Prot/life Ins      </t>
  </si>
  <si>
    <t>MIH Wellness Coordinator Unemployment</t>
  </si>
  <si>
    <t xml:space="preserve">MIH Wellness Coordinator Medicare                </t>
  </si>
  <si>
    <t xml:space="preserve">MIH Wellness Coordinator Pera              </t>
  </si>
  <si>
    <t xml:space="preserve">MIH Coordinator Fringe            </t>
  </si>
  <si>
    <t>CPP Coordinator - Life &amp; Disability</t>
  </si>
  <si>
    <t>CPP Coordinator - Health Benefits</t>
  </si>
  <si>
    <t>Jill &amp; Virginia (Oct-June)</t>
  </si>
  <si>
    <t>Laura .2 FTE &amp; Roberta</t>
  </si>
  <si>
    <t>1/3 Melinda &amp; 1/6 Rachel</t>
  </si>
  <si>
    <t>Dale S Xmas Bonus</t>
  </si>
  <si>
    <t>Laura .2 FTE</t>
  </si>
  <si>
    <t>5k Dale Stipend</t>
  </si>
  <si>
    <t xml:space="preserve">Sped - Admin Extra Duty              </t>
  </si>
  <si>
    <t>Morgan</t>
  </si>
  <si>
    <t>Deb</t>
  </si>
  <si>
    <t>Final 2019-20 Budget</t>
  </si>
  <si>
    <t>Cycle Name</t>
  </si>
  <si>
    <t>Fund Element Value</t>
  </si>
  <si>
    <t>Budget Pool Number</t>
  </si>
  <si>
    <t>Account Code</t>
  </si>
  <si>
    <t>Account Type Name</t>
  </si>
  <si>
    <t>Auto Create Account</t>
  </si>
  <si>
    <t>Comment</t>
  </si>
  <si>
    <t>Required</t>
  </si>
  <si>
    <t>An existing Accounting Cycle name.
varchar(32)</t>
  </si>
  <si>
    <t>Fund element value for new Budget.
varchar(64)</t>
  </si>
  <si>
    <r>
      <t xml:space="preserve">Use a unique number for each different pool;
Use a </t>
    </r>
    <r>
      <rPr>
        <b/>
        <i/>
        <sz val="8"/>
        <rFont val="Arial"/>
        <family val="2"/>
      </rPr>
      <t>0</t>
    </r>
    <r>
      <rPr>
        <i/>
        <sz val="8"/>
        <rFont val="Arial"/>
        <family val="2"/>
      </rPr>
      <t xml:space="preserve"> for no pooling;
int</t>
    </r>
  </si>
  <si>
    <t>Full account code for the Budget line.
varchar(255)</t>
  </si>
  <si>
    <t>One of the following:
Asset
Liability
Expenditure
Revenue
Other Financing Uses
Other Financing Sources
Fund Balance/Retained Earnings
varchar(32)</t>
  </si>
  <si>
    <t>money</t>
  </si>
  <si>
    <r>
      <t xml:space="preserve">Set to Yes to create the account code when it does not exists.
</t>
    </r>
    <r>
      <rPr>
        <b/>
        <i/>
        <sz val="8"/>
        <rFont val="Arial"/>
        <family val="2"/>
      </rPr>
      <t>1</t>
    </r>
    <r>
      <rPr>
        <i/>
        <sz val="8"/>
        <rFont val="Arial"/>
        <family val="2"/>
      </rPr>
      <t xml:space="preserve"> - Yes
</t>
    </r>
    <r>
      <rPr>
        <b/>
        <i/>
        <sz val="8"/>
        <rFont val="Arial"/>
        <family val="2"/>
      </rPr>
      <t>0</t>
    </r>
    <r>
      <rPr>
        <i/>
        <sz val="8"/>
        <rFont val="Arial"/>
        <family val="2"/>
      </rPr>
      <t xml:space="preserve"> - No
int</t>
    </r>
  </si>
  <si>
    <t>varchar(255)</t>
  </si>
  <si>
    <t>10-000-00-0000-1110-000-0000</t>
  </si>
  <si>
    <t>Revenue</t>
  </si>
  <si>
    <t>10-000-00-0000-1120-000-0000</t>
  </si>
  <si>
    <t>10-000-00-0000-1143-000-0000</t>
  </si>
  <si>
    <t>10-000-00-0000-1190-000-0000</t>
  </si>
  <si>
    <t>10-000-00-0000-1500-000-0000</t>
  </si>
  <si>
    <t>10-000-00-0000-1501-000-0000</t>
  </si>
  <si>
    <t>10-000-00-0000-1900-000-0000</t>
  </si>
  <si>
    <t>10-000-00-0000-1904-000-0000</t>
  </si>
  <si>
    <t>10-000-00-0000-1999-000-0000</t>
  </si>
  <si>
    <t>10-000-00-0000-2010-000-0000</t>
  </si>
  <si>
    <t>10-000-00-0000-3000-000-3140</t>
  </si>
  <si>
    <t>10-000-00-0000-3000-000-3160</t>
  </si>
  <si>
    <t>10-000-00-0000-3000-000-3206</t>
  </si>
  <si>
    <t>10-000-00-0000-3000-000-3207</t>
  </si>
  <si>
    <t>10-000-00-0000-3000-000-3230</t>
  </si>
  <si>
    <t>10-000-00-0000-3110-000-0000</t>
  </si>
  <si>
    <t>10-000-00-0000-3951-000-3150</t>
  </si>
  <si>
    <t>10-000-00-0000-4000-000-4010</t>
  </si>
  <si>
    <t>10-000-00-0000-4000-000-4367</t>
  </si>
  <si>
    <t>10-000-00-0000-4020-000-4358</t>
  </si>
  <si>
    <t>10-000-00-0000-5243-000-0000</t>
  </si>
  <si>
    <t>10-100-00-0010-0110-200-0000</t>
  </si>
  <si>
    <t>Expenditure</t>
  </si>
  <si>
    <t>10-100-00-0010-0120-200-0000</t>
  </si>
  <si>
    <t>10-100-00-0010-0210-200-0000</t>
  </si>
  <si>
    <t>10-100-00-0010-0215-200-0000</t>
  </si>
  <si>
    <t>10-100-00-0010-0221-200-0000</t>
  </si>
  <si>
    <t>10-100-00-0010-0230-200-0000</t>
  </si>
  <si>
    <t>10-100-00-0010-0250-200-0000</t>
  </si>
  <si>
    <t>10-100-00-0010-0600-000-0000</t>
  </si>
  <si>
    <t>10-100-00-0011-0110-200-0000</t>
  </si>
  <si>
    <t>10-100-00-0011-0120-200-0000</t>
  </si>
  <si>
    <t>10-100-00-0011-0210-200-0000</t>
  </si>
  <si>
    <t>10-100-00-0011-0215-200-0000</t>
  </si>
  <si>
    <t>10-100-00-0011-0221-200-0000</t>
  </si>
  <si>
    <t>10-100-00-0011-0230-200-0000</t>
  </si>
  <si>
    <t>10-100-00-0011-0250-200-0000</t>
  </si>
  <si>
    <t>10-100-00-0011-0600-000-0000</t>
  </si>
  <si>
    <t>10-100-00-0012-0110-200-0000</t>
  </si>
  <si>
    <t>10-100-00-0012-0120-200-0000</t>
  </si>
  <si>
    <t>10-100-00-0012-0215-200-0000</t>
  </si>
  <si>
    <t>10-100-00-0012-0221-200-0000</t>
  </si>
  <si>
    <t>10-100-00-0012-0230-200-0000</t>
  </si>
  <si>
    <t>10-100-00-0012-0250-200-0000</t>
  </si>
  <si>
    <t>10-100-00-0012-0600-000-0000</t>
  </si>
  <si>
    <t>10-100-00-0013-0110-200-0000</t>
  </si>
  <si>
    <t>10-100-00-0013-0120-200-0000</t>
  </si>
  <si>
    <t>10-100-00-0013-0215-200-0000</t>
  </si>
  <si>
    <t>10-100-00-0013-0221-200-0000</t>
  </si>
  <si>
    <t>10-100-00-0013-0230-200-0000</t>
  </si>
  <si>
    <t>10-100-00-0013-0600-000-0000</t>
  </si>
  <si>
    <t>10-100-00-0014-0110-200-0000</t>
  </si>
  <si>
    <t>10-100-00-0014-0120-200-0000</t>
  </si>
  <si>
    <t>10-100-00-0014-0215-200-0000</t>
  </si>
  <si>
    <t>10-100-00-0014-0221-200-0000</t>
  </si>
  <si>
    <t>10-100-00-0014-0230-200-0000</t>
  </si>
  <si>
    <t>10-100-00-0014-0250-200-0000</t>
  </si>
  <si>
    <t>10-100-00-0014-0600-000-0000</t>
  </si>
  <si>
    <t>10-100-00-0015-0110-200-0000</t>
  </si>
  <si>
    <t>10-100-00-0015-0120-200-0000</t>
  </si>
  <si>
    <t>10-100-00-0015-0215-200-0000</t>
  </si>
  <si>
    <t>10-100-00-0015-0221-200-0000</t>
  </si>
  <si>
    <t>10-100-00-0015-0250-200-0000</t>
  </si>
  <si>
    <t>10-100-00-0015-0230-200-0000</t>
  </si>
  <si>
    <t>10-100-00-0015-0600-000-0000</t>
  </si>
  <si>
    <t>10-200-00-0021-0110-200-0000</t>
  </si>
  <si>
    <t>10-200-00-0021-0120-200-0000</t>
  </si>
  <si>
    <t>10-200-00-0021-0210-200-0000</t>
  </si>
  <si>
    <t>10-200-00-0021-0215-200-0000</t>
  </si>
  <si>
    <t>10-200-00-0021-0221-200-0000</t>
  </si>
  <si>
    <t>10-200-00-0021-0230-200-0000</t>
  </si>
  <si>
    <t>10-200-00-0021-0250-200-0000</t>
  </si>
  <si>
    <t>10-200-00-0021-0600-000-0000</t>
  </si>
  <si>
    <t>10-200-00-0022-0110-200-0000</t>
  </si>
  <si>
    <t>10-200-00-0022-0120-200-0000</t>
  </si>
  <si>
    <t>10-200-00-0022-0210-200-0000</t>
  </si>
  <si>
    <t>10-200-00-0022-0215-200-0000</t>
  </si>
  <si>
    <t>10-200-00-0022-0221-200-0000</t>
  </si>
  <si>
    <t>10-200-00-0022-0230-200-0000</t>
  </si>
  <si>
    <t>10-200-00-0022-0250-200-0000</t>
  </si>
  <si>
    <t>10-200-00-0022-0600-000-0000</t>
  </si>
  <si>
    <t>10-200-00-0023-0110-200-0000</t>
  </si>
  <si>
    <t>10-200-00-0023-0120-200-0000</t>
  </si>
  <si>
    <t>10-200-00-0023-0250-200-0000</t>
  </si>
  <si>
    <t>10-200-00-0023-0215-200-0000</t>
  </si>
  <si>
    <t>10-200-00-0023-0210-200-0000</t>
  </si>
  <si>
    <t>10-200-00-0023-0230-200-0000</t>
  </si>
  <si>
    <t>10-200-00-0023-0221-200-0000</t>
  </si>
  <si>
    <t>10-200-00-0023-0600-000-0000</t>
  </si>
  <si>
    <t>10-200-00-0027-0110-200-0000</t>
  </si>
  <si>
    <t>10-200-00-0027-0120-200-0000</t>
  </si>
  <si>
    <t>10-200-00-0027-0210-200-0000</t>
  </si>
  <si>
    <t>10-200-00-0027-0215-200-0000</t>
  </si>
  <si>
    <t>10-200-00-0027-0221-200-0000</t>
  </si>
  <si>
    <t>10-200-00-0027-0230-200-0000</t>
  </si>
  <si>
    <t>10-200-00-0027-0250-200-0000</t>
  </si>
  <si>
    <t>10-200-00-0027-0600-000-0000</t>
  </si>
  <si>
    <t>10-200-00-1800-0110-200-0000</t>
  </si>
  <si>
    <t>10-200-00-1800-0215-200-0000</t>
  </si>
  <si>
    <t>10-200-00-1800-0221-200-0000</t>
  </si>
  <si>
    <t>10-200-00-1800-0230-200-0000</t>
  </si>
  <si>
    <t>10-200-00-1800-0339-000-0000</t>
  </si>
  <si>
    <t>10-300-00-0500-0110-200-0000</t>
  </si>
  <si>
    <t>10-300-00-0500-0120-200-0000</t>
  </si>
  <si>
    <t>10-300-00-0500-0210-200-0000</t>
  </si>
  <si>
    <t>10-300-00-0500-0215-200-0000</t>
  </si>
  <si>
    <t>10-300-00-0500-0221-200-0000</t>
  </si>
  <si>
    <t>10-300-00-0500-0230-200-0000</t>
  </si>
  <si>
    <t>10-300-00-0500-0250-200-0000</t>
  </si>
  <si>
    <t>10-300-00-0500-0600-000-0000</t>
  </si>
  <si>
    <t>10-300-00-0600-0110-200-0000</t>
  </si>
  <si>
    <t>10-300-00-0600-0120-200-0000</t>
  </si>
  <si>
    <t>10-300-00-0600-0210-200-0000</t>
  </si>
  <si>
    <t>10-300-00-0600-0215-200-0000</t>
  </si>
  <si>
    <t>10-300-00-0600-0221-200-0000</t>
  </si>
  <si>
    <t>10-300-00-0600-0230-200-0000</t>
  </si>
  <si>
    <t>10-300-00-0600-0250-200-0000</t>
  </si>
  <si>
    <t>10-300-00-0600-0600-000-0000</t>
  </si>
  <si>
    <t>10-300-00-1000-0110-200-3120</t>
  </si>
  <si>
    <t>10-300-00-1000-0120-200-3120</t>
  </si>
  <si>
    <t>10-300-00-1000-0210-200-3120</t>
  </si>
  <si>
    <t>10-300-00-1000-0215-200-3120</t>
  </si>
  <si>
    <t>10-300-00-1000-0221-200-3120</t>
  </si>
  <si>
    <t>10-300-00-1000-0230-200-3120</t>
  </si>
  <si>
    <t>10-300-00-1000-0250-200-3120</t>
  </si>
  <si>
    <t>10-300-00-1000-0320-000-3120</t>
  </si>
  <si>
    <t>10-300-00-1000-0600-000-3120</t>
  </si>
  <si>
    <t>10-300-00-1100-0110-200-0000</t>
  </si>
  <si>
    <t>10-300-00-1100-0120-200-0000</t>
  </si>
  <si>
    <t>10-300-00-1100-0210-200-0000</t>
  </si>
  <si>
    <t>10-300-00-1100-0215-200-0000</t>
  </si>
  <si>
    <t>10-300-00-1100-0221-200-0000</t>
  </si>
  <si>
    <t>10-300-00-1100-0230-200-0000</t>
  </si>
  <si>
    <t>10-300-00-1100-0250-200-0000</t>
  </si>
  <si>
    <t>10-300-00-1100-0600-000-0000</t>
  </si>
  <si>
    <t>10-300-00-1300-0110-200-0000</t>
  </si>
  <si>
    <t>10-300-00-1300-0120-200-0000</t>
  </si>
  <si>
    <t>10-300-00-1300-0210-200-0000</t>
  </si>
  <si>
    <t>10-300-00-1300-0215-200-0000</t>
  </si>
  <si>
    <t>10-300-00-1300-0221-200-0000</t>
  </si>
  <si>
    <t>10-300-00-1300-0230-200-0000</t>
  </si>
  <si>
    <t>10-300-00-1300-0250-200-0000</t>
  </si>
  <si>
    <t>10-300-00-1300-0600-000-0000</t>
  </si>
  <si>
    <t>10-300-00-1500-0110-200-0000</t>
  </si>
  <si>
    <t>10-300-00-1500-0120-200-0000</t>
  </si>
  <si>
    <t>10-300-00-1500-0210-200-0000</t>
  </si>
  <si>
    <t>10-300-00-1500-0215-200-0000</t>
  </si>
  <si>
    <t>10-300-00-1500-0221-200-0000</t>
  </si>
  <si>
    <t>10-300-00-1500-0230-200-0000</t>
  </si>
  <si>
    <t>10-300-00-1500-0250-200-0000</t>
  </si>
  <si>
    <t>10-300-00-1800-0110-210-0000</t>
  </si>
  <si>
    <t>10-300-00-1800-0215-210-0000</t>
  </si>
  <si>
    <t>10-300-00-1800-0221-210-0000</t>
  </si>
  <si>
    <t>10-300-00-1800-0230-210-0000</t>
  </si>
  <si>
    <t>10-300-00-1800-0339-000-0000</t>
  </si>
  <si>
    <t>10-300-00-1800-0580-000-0000</t>
  </si>
  <si>
    <t>10-300-00-1800-0610-000-0000</t>
  </si>
  <si>
    <t>10-300-00-1800-0611-000-0000</t>
  </si>
  <si>
    <t>10-300-00-1800-0810-000-0000</t>
  </si>
  <si>
    <t>10-500-00-0050-0320-000-0000</t>
  </si>
  <si>
    <t>10-500-00-0060-0110-201-0000</t>
  </si>
  <si>
    <t>10-500-00-0060-0110-400-0000</t>
  </si>
  <si>
    <t>10-500-00-0060-0120-204-0000</t>
  </si>
  <si>
    <t>10-500-00-0060-0210-201-0000</t>
  </si>
  <si>
    <t>10-500-00-0060-0210-400-0000</t>
  </si>
  <si>
    <t>10-500-00-0060-0212-204-0000</t>
  </si>
  <si>
    <t>10-500-00-0060-0215-201-0000</t>
  </si>
  <si>
    <t>10-500-00-0060-0215-204-0000</t>
  </si>
  <si>
    <t>10-500-00-0060-0215-400-0000</t>
  </si>
  <si>
    <t>1</t>
  </si>
  <si>
    <t>10-500-00-0060-0221-201-0000</t>
  </si>
  <si>
    <t>10-500-00-0060-0221-204-0000</t>
  </si>
  <si>
    <t>10-500-00-0060-0221-400-0000</t>
  </si>
  <si>
    <t>10-500-00-0060-0230-201-0000</t>
  </si>
  <si>
    <t>10-500-00-0060-0230-204-0000</t>
  </si>
  <si>
    <t>10-500-00-0060-0230-400-0000</t>
  </si>
  <si>
    <t>10-500-00-0060-0250-201-0000</t>
  </si>
  <si>
    <t>10-500-00-0060-0250-400-0000</t>
  </si>
  <si>
    <t>10-500-00-0060-0320-000-0000</t>
  </si>
  <si>
    <t>10-500-00-0060-0431-000-0000</t>
  </si>
  <si>
    <t>10-500-00-0060-0580-000-0000</t>
  </si>
  <si>
    <t>10-500-00-0060-0580-200-0000</t>
  </si>
  <si>
    <t>10-500-00-0060-0600-000-0000</t>
  </si>
  <si>
    <t>10-500-00-0060-0640-000-0000</t>
  </si>
  <si>
    <t>10-500-00-0060-0810-000-0000</t>
  </si>
  <si>
    <t>10-500-00-0070-0100-200-3150</t>
  </si>
  <si>
    <t>10-500-00-0200-0110-200-0000</t>
  </si>
  <si>
    <t>10-500-00-0200-0120-200-0000</t>
  </si>
  <si>
    <t>10-500-00-0200-0210-200-0000</t>
  </si>
  <si>
    <t>10-500-00-0200-0215-200-0000</t>
  </si>
  <si>
    <t>10-500-00-0200-0221-200-0000</t>
  </si>
  <si>
    <t>10-500-00-0200-0230-200-0000</t>
  </si>
  <si>
    <t>10-500-00-0200-0250-200-0000</t>
  </si>
  <si>
    <t>10-500-00-0200-0600-000-0000</t>
  </si>
  <si>
    <t>10-500-00-0800-0110-200-0000</t>
  </si>
  <si>
    <t>10-500-00-0800-0120-200-0000</t>
  </si>
  <si>
    <t>10-500-00-0800-0210-200-0000</t>
  </si>
  <si>
    <t>10-500-00-0800-0215-200-0000</t>
  </si>
  <si>
    <t>10-500-00-0800-0221-200-0000</t>
  </si>
  <si>
    <t>10-500-00-0800-0230-200-0000</t>
  </si>
  <si>
    <t>10-500-00-0800-0250-200-0000</t>
  </si>
  <si>
    <t>10-500-00-0800-0735-000-0000</t>
  </si>
  <si>
    <t>10-500-00-1200-0110-200-0000</t>
  </si>
  <si>
    <t>10-500-00-1200-0215-200-0000</t>
  </si>
  <si>
    <t>10-500-00-1200-0221-200-0000</t>
  </si>
  <si>
    <t>10-500-00-1200-0230-200-0000</t>
  </si>
  <si>
    <t>10-500-00-1200-0600-000-0000</t>
  </si>
  <si>
    <t>10-500-00-1800-0110-210-0000</t>
  </si>
  <si>
    <t>10-500-00-1800-0215-210-0000</t>
  </si>
  <si>
    <t>10-500-00-1800-0221-210-0000</t>
  </si>
  <si>
    <t>10-500-00-1800-0230-210-0000</t>
  </si>
  <si>
    <t>10-500-00-1800-0580-000-0000</t>
  </si>
  <si>
    <t>10-500-00-1800-0800-000-0000</t>
  </si>
  <si>
    <t>10-500-00-2213-0580-200-0000</t>
  </si>
  <si>
    <t>10-500-00-2234-0110-210-0000</t>
  </si>
  <si>
    <t>10-500-00-2234-0221-210-0000</t>
  </si>
  <si>
    <t>10-500-00-2234-0230-210-0000</t>
  </si>
  <si>
    <t>10-500-00-2400-0110-105-0000</t>
  </si>
  <si>
    <t>10-500-00-2400-0110-506-0000</t>
  </si>
  <si>
    <t>10-500-00-2400-0210-105-0000</t>
  </si>
  <si>
    <t>10-500-00-2400-0210-506-0000</t>
  </si>
  <si>
    <t>10-500-00-2400-0215-105-0000</t>
  </si>
  <si>
    <t>10-500-00-2400-0215-506-0000</t>
  </si>
  <si>
    <t>10-500-00-2400-0221-105-0000</t>
  </si>
  <si>
    <t>10-500-00-2400-0221-506-0000</t>
  </si>
  <si>
    <t>10-500-00-2400-0230-105-0000</t>
  </si>
  <si>
    <t>10-500-00-2400-0230-506-0000</t>
  </si>
  <si>
    <t>10-500-00-2400-0250-105-0000</t>
  </si>
  <si>
    <t>10-500-00-2400-0250-506-0000</t>
  </si>
  <si>
    <t>10-500-00-2400-0334-000-0000</t>
  </si>
  <si>
    <t>10-500-00-2400-0531-000-0000</t>
  </si>
  <si>
    <t>10-500-00-2400-0533-000-0000</t>
  </si>
  <si>
    <t>10-500-00-2400-0580-000-0000</t>
  </si>
  <si>
    <t>10-500-00-2400-0600-000-0000</t>
  </si>
  <si>
    <t>10-500-00-2400-0735-000-0000</t>
  </si>
  <si>
    <t>10-500-00-2400-0810-000-0000</t>
  </si>
  <si>
    <t>10-509-00-0062-0110-400-0000</t>
  </si>
  <si>
    <t>10-509-00-0062-0210-400-0000</t>
  </si>
  <si>
    <t>10-509-00-0062-0215-400-0000</t>
  </si>
  <si>
    <t>10-509-00-0062-0221-400-0000</t>
  </si>
  <si>
    <t>10-509-00-0062-0230-400-0000</t>
  </si>
  <si>
    <t>10-509-00-0062-0250-400-0000</t>
  </si>
  <si>
    <t>10-509-00-0062-0580-000-0000</t>
  </si>
  <si>
    <t>10-509-00-0062-0600-000-0000</t>
  </si>
  <si>
    <t>10-509-00-0091-0600-000-4358</t>
  </si>
  <si>
    <t>10-600-00-0060-0565-000-0000</t>
  </si>
  <si>
    <t>10-600-00-1700-0110-200-3130</t>
  </si>
  <si>
    <t>10-600-00-1700-0110-416-3130</t>
  </si>
  <si>
    <t>10-600-00-1700-0120-200-3130</t>
  </si>
  <si>
    <t>10-600-00-1700-0210-200-3130</t>
  </si>
  <si>
    <t>10-600-00-1700-0210-416-3130</t>
  </si>
  <si>
    <t>10-600-00-1700-0215-200-3130</t>
  </si>
  <si>
    <t>10-600-00-1700-0215-416-3130</t>
  </si>
  <si>
    <t>10-600-00-1700-0221-200-3130</t>
  </si>
  <si>
    <t>10-600-00-1700-0221-416-3130</t>
  </si>
  <si>
    <t>10-600-00-1700-0230-200-3130</t>
  </si>
  <si>
    <t>10-600-00-1700-0230-416-3130</t>
  </si>
  <si>
    <t>10-600-00-1700-0250-200-3130</t>
  </si>
  <si>
    <t>10-600-00-1700-0250-416-3130</t>
  </si>
  <si>
    <t>10-600-00-1700-0580-000-3130</t>
  </si>
  <si>
    <t>10-600-00-1700-0591-000-3130</t>
  </si>
  <si>
    <t>10-600-00-1700-0600-000-3130</t>
  </si>
  <si>
    <t>10-600-00-2120-0110-200-0000</t>
  </si>
  <si>
    <t>10-600-00-2120-0210-200-0000</t>
  </si>
  <si>
    <t>10-600-00-2120-0215-200-0000</t>
  </si>
  <si>
    <t>10-600-00-2120-0221-200-0000</t>
  </si>
  <si>
    <t>10-600-00-2120-0230-200-0000</t>
  </si>
  <si>
    <t>10-600-00-2120-0250-200-0000</t>
  </si>
  <si>
    <t>10-600-00-2120-0600-000-0000</t>
  </si>
  <si>
    <t>10-600-00-2130-0300-000-0000</t>
  </si>
  <si>
    <t>10-600-00-2130-0580-000-0000</t>
  </si>
  <si>
    <t>10-600-00-2130-0600-000-0000</t>
  </si>
  <si>
    <t>10-600-00-2222-0210-400-0000</t>
  </si>
  <si>
    <t>10-600-00-2222-0215-400-0000</t>
  </si>
  <si>
    <t>10-600-00-2222-0221-400-0000</t>
  </si>
  <si>
    <t>10-600-00-2222-0230-400-0000</t>
  </si>
  <si>
    <t>10-600-00-2222-0250-400-0000</t>
  </si>
  <si>
    <t>10-600-00-2222-0300-000-0000</t>
  </si>
  <si>
    <t>10-600-00-2222-0580-000-0000</t>
  </si>
  <si>
    <t>10-600-00-2222-0600-000-0000</t>
  </si>
  <si>
    <t>10-600-00-2222-0640-000-0000</t>
  </si>
  <si>
    <t>10-600-00-2222-0640-000-3207</t>
  </si>
  <si>
    <t>10-600-00-2222-0641-000-0000</t>
  </si>
  <si>
    <t>10-600-00-2222-0735-000-0000</t>
  </si>
  <si>
    <t>10-600-00-2311-0331-000-0000</t>
  </si>
  <si>
    <t>10-600-00-2311-0540-000-0000</t>
  </si>
  <si>
    <t>10-600-00-2311-0580-000-0000</t>
  </si>
  <si>
    <t>10-600-00-2311-0600-000-0000</t>
  </si>
  <si>
    <t>10-600-00-2311-0810-000-0000</t>
  </si>
  <si>
    <t>10-600-00-2317-0332-000-0000</t>
  </si>
  <si>
    <t>10-600-00-2319-0591-000-0000</t>
  </si>
  <si>
    <t>10-600-00-2320-0110-101-0000</t>
  </si>
  <si>
    <t>10-600-00-2320-0210-101-0000</t>
  </si>
  <si>
    <t>10-600-00-2320-0215-101-0000</t>
  </si>
  <si>
    <t>10-600-00-2320-0221-101-0000</t>
  </si>
  <si>
    <t>10-600-00-2320-0230-101-0000</t>
  </si>
  <si>
    <t>10-600-00-2320-0250-101-0000</t>
  </si>
  <si>
    <t>10-600-00-2320-0334-000-0000</t>
  </si>
  <si>
    <t>10-600-00-2320-0531-000-0000</t>
  </si>
  <si>
    <t>10-600-00-2320-0540-000-0000</t>
  </si>
  <si>
    <t>10-600-00-2320-0580-000-0000</t>
  </si>
  <si>
    <t>10-600-00-2320-0600-000-0000</t>
  </si>
  <si>
    <t>10-600-00-2320-0735-000-0000</t>
  </si>
  <si>
    <t>10-600-00-2320-0810-000-0000</t>
  </si>
  <si>
    <t>10-600-00-2500-0110-103-0000</t>
  </si>
  <si>
    <t>10-600-00-2500-0210-103-0000</t>
  </si>
  <si>
    <t>10-600-00-2500-0215-103-0000</t>
  </si>
  <si>
    <t>10-600-00-2500-0221-103-0000</t>
  </si>
  <si>
    <t>10-600-00-2500-0230-103-0000</t>
  </si>
  <si>
    <t>10-600-00-2500-0250-103-0000</t>
  </si>
  <si>
    <t>10-600-00-2500-0311-000-0000</t>
  </si>
  <si>
    <t>10-600-00-2500-0334-000-0000</t>
  </si>
  <si>
    <t>10-600-00-2500-0600-000-0000</t>
  </si>
  <si>
    <t>10-600-00-2500-0735-000-0000</t>
  </si>
  <si>
    <t>10-600-00-2500-0810-000-0000</t>
  </si>
  <si>
    <t>10-601-00-2840-0110-103-0000</t>
  </si>
  <si>
    <t>10-601-00-2840-0210-103-0000</t>
  </si>
  <si>
    <t>10-601-00-2840-0215-103-0000</t>
  </si>
  <si>
    <t>10-601-00-2840-0221-103-0000</t>
  </si>
  <si>
    <t>10-601-00-2840-0230-103-0000</t>
  </si>
  <si>
    <t>10-601-00-2840-0250-103-0000</t>
  </si>
  <si>
    <t>10-601-00-2840-0334-000-0000</t>
  </si>
  <si>
    <t>10-601-00-2840-0534-000-0000</t>
  </si>
  <si>
    <t>10-601-00-2840-0601-000-0000</t>
  </si>
  <si>
    <t>10-601-00-2840-0734-000-0000</t>
  </si>
  <si>
    <t>10-700-00-2600-0110-608-0000</t>
  </si>
  <si>
    <t>10-700-00-2600-0110-613-0000</t>
  </si>
  <si>
    <t>10-700-00-2600-0210-608-0000</t>
  </si>
  <si>
    <t>10-700-00-2600-0210-613-0000</t>
  </si>
  <si>
    <t>10-700-00-2600-0215-608-0000</t>
  </si>
  <si>
    <t>10-700-00-2600-0215-613-0000</t>
  </si>
  <si>
    <t>10-700-00-2600-0221-608-0000</t>
  </si>
  <si>
    <t>10-700-00-2600-0221-613-0000</t>
  </si>
  <si>
    <t>10-700-00-2600-0230-608-0000</t>
  </si>
  <si>
    <t>10-700-00-2600-0230-613-0000</t>
  </si>
  <si>
    <t>10-700-00-2600-0250-608-0000</t>
  </si>
  <si>
    <t>10-700-00-2600-0250-613-0000</t>
  </si>
  <si>
    <t>10-700-00-2600-0340-000-0000</t>
  </si>
  <si>
    <t>10-700-00-2600-0400-000-0000</t>
  </si>
  <si>
    <t>10-700-00-2600-0421-000-0000</t>
  </si>
  <si>
    <t>10-700-00-2600-0600-000-0000</t>
  </si>
  <si>
    <t>10-700-00-2600-0622-000-0000</t>
  </si>
  <si>
    <t>10-700-00-2600-0623-000-0000</t>
  </si>
  <si>
    <t>10-700-00-2600-0735-000-0000</t>
  </si>
  <si>
    <t>10-700-00-2700-0110-602-0000</t>
  </si>
  <si>
    <t>10-700-00-2700-0110-613-0000</t>
  </si>
  <si>
    <t>10-700-00-2700-0210-602-0000</t>
  </si>
  <si>
    <t>10-700-00-2700-0210-613-0000</t>
  </si>
  <si>
    <t>10-700-00-2700-0215-602-0000</t>
  </si>
  <si>
    <t>10-700-00-2700-0215-613-0000</t>
  </si>
  <si>
    <t>10-700-00-2700-0221-602-0000</t>
  </si>
  <si>
    <t>10-700-00-2700-0221-613-0000</t>
  </si>
  <si>
    <t>10-700-00-2700-0230-602-0000</t>
  </si>
  <si>
    <t>10-700-00-2700-0230-613-0000</t>
  </si>
  <si>
    <t>10-700-00-2700-0250-602-0000</t>
  </si>
  <si>
    <t>10-700-00-2700-0340-000-0000</t>
  </si>
  <si>
    <t>10-700-00-2700-0400-000-0000</t>
  </si>
  <si>
    <t>10-700-00-2700-0580-000-0000</t>
  </si>
  <si>
    <t>10-700-00-2700-0600-000-0000</t>
  </si>
  <si>
    <t>10-700-00-2700-0626-000-0000</t>
  </si>
  <si>
    <t>10-700-00-2700-0735-000-0000</t>
  </si>
  <si>
    <t>10-700-00-2701-0110-602-0000</t>
  </si>
  <si>
    <t>10-700-00-2701-0215-602-0000</t>
  </si>
  <si>
    <t>10-700-00-2701-0221-602-0000</t>
  </si>
  <si>
    <t>10-700-00-2701-0230-602-0000</t>
  </si>
  <si>
    <t>10-700-00-2850-0527-000-0000</t>
  </si>
  <si>
    <t>10-800-00-2850-0526-000-0000</t>
  </si>
  <si>
    <t>10-800-00-9100-0990-000-0000</t>
  </si>
  <si>
    <t>10-800-00-9310-0990-000-0000</t>
  </si>
  <si>
    <t>19-000-00-0000-1500-000-0000</t>
  </si>
  <si>
    <t>19-000-00-0000-5810-000-3141</t>
  </si>
  <si>
    <t>19-100-00-0040-0110-200-3141</t>
  </si>
  <si>
    <t>19-100-00-0040-0120-200-3141</t>
  </si>
  <si>
    <t>19-100-00-0040-0215-200-3141</t>
  </si>
  <si>
    <t>19-100-00-0040-0221-200-3141</t>
  </si>
  <si>
    <t>19-100-00-0040-0230-200-3141</t>
  </si>
  <si>
    <t>19-100-00-0040-0250-200-3141</t>
  </si>
  <si>
    <t>19-100-00-0040-0600-000-3141</t>
  </si>
  <si>
    <t>19-100-00-0040-0735-000-3141</t>
  </si>
  <si>
    <t>19-100-00-9100-0900-000-3141</t>
  </si>
  <si>
    <t>21-000-00-0000-1500-000-0000</t>
  </si>
  <si>
    <t>21-000-00-0000-1621-000-0000</t>
  </si>
  <si>
    <t>21-000-00-0000-3000-000-3161</t>
  </si>
  <si>
    <t>21-000-00-0000-4000-000-4553</t>
  </si>
  <si>
    <t>21-000-00-0000-4000-000-4555</t>
  </si>
  <si>
    <t>21-000-00-0000-4000-000-4582</t>
  </si>
  <si>
    <t>21-700-00-3100-0340-000-0000</t>
  </si>
  <si>
    <t>21-700-00-3100-0580-000-0000</t>
  </si>
  <si>
    <t>21-700-00-3100-0602-000-0000</t>
  </si>
  <si>
    <t>21-700-00-3100-0610-000-0000</t>
  </si>
  <si>
    <t>21-700-00-3100-0630-000-0000</t>
  </si>
  <si>
    <t>21-700-00-3100-0630-000-4582</t>
  </si>
  <si>
    <t>21-700-00-3100-0631-000-0000</t>
  </si>
  <si>
    <t>21-700-00-3100-0632-000-0000</t>
  </si>
  <si>
    <t>21-700-00-3100-0730-000-0000</t>
  </si>
  <si>
    <t>31-800-00-0000-1110-000-0000</t>
  </si>
  <si>
    <t>31-850-00-0000-1110-000-0000</t>
  </si>
  <si>
    <t>31-800-00-0000-1500-000-0000</t>
  </si>
  <si>
    <t>31-850-00-0000-1500-000-0000</t>
  </si>
  <si>
    <t>31-800-00-5100-0314-000-0000</t>
  </si>
  <si>
    <t>31-800-00-5100-0831-000-0000</t>
  </si>
  <si>
    <t>31-800-00-5100-0910-000-0000</t>
  </si>
  <si>
    <t>31-800-00-9100-0990-000-0000</t>
  </si>
  <si>
    <t>31-850-00-5100-0314-000-0000</t>
  </si>
  <si>
    <t>31-850-00-5100-0831-000-0000</t>
  </si>
  <si>
    <t>31-850-00-5100-0910-000-0000</t>
  </si>
  <si>
    <t>31-850-00-9100-0990-000-0000</t>
  </si>
  <si>
    <t>43-500-00-0000-1501-000-0000</t>
  </si>
  <si>
    <t>43-500-00-0000-5210-000-0000</t>
  </si>
  <si>
    <t>43-500-00-2600-0710-000-0000</t>
  </si>
  <si>
    <t>43-500-00-2600-0732-000-0000</t>
  </si>
  <si>
    <t>11-950-00-0063-0600-000-0000</t>
  </si>
  <si>
    <t>11-950-00-2701-0230-602-0000</t>
  </si>
  <si>
    <t>10-000-00-0000-1852-000-0000</t>
  </si>
  <si>
    <t>10-000-00-0000-1900-000-1445</t>
  </si>
  <si>
    <t>10-000-00-0000-1900-000-1446</t>
  </si>
  <si>
    <t>10-000-00-0000-1900-000-1450</t>
  </si>
  <si>
    <t>10-000-00-0000-1900-000-1451</t>
  </si>
  <si>
    <t>FY19-20</t>
  </si>
  <si>
    <t>10-000-00-0000-3000-000-3139</t>
  </si>
  <si>
    <t>10-000-00-0000-3000-000-3183</t>
  </si>
  <si>
    <t>10-000-00-0000-3000-000-3235</t>
  </si>
  <si>
    <t>10-000-00-0000-4000-000-4424</t>
  </si>
  <si>
    <t>10-000-00-0000-5221-000-0000</t>
  </si>
  <si>
    <t>10-100-00-0011-0110-400-0000</t>
  </si>
  <si>
    <t>10-100-00-0011-0215-400-0000</t>
  </si>
  <si>
    <t>10-100-00-0011-0221-400-0000</t>
  </si>
  <si>
    <t>10-100-00-0011-0230-400-0000</t>
  </si>
  <si>
    <t>10-100-00-0012-0110-400-0000</t>
  </si>
  <si>
    <t>10-100-00-0012-0210-200-0000</t>
  </si>
  <si>
    <t>10-100-00-0012-0215-400-0000</t>
  </si>
  <si>
    <t>10-100-00-0012-0221-400-0000</t>
  </si>
  <si>
    <t>10-100-00-0012-0230-400-0000</t>
  </si>
  <si>
    <t>10-100-00-0013-0210-200-0000</t>
  </si>
  <si>
    <t>10-100-00-0013-0250-200-0000</t>
  </si>
  <si>
    <t>10-100-00-0014-0210-200-0000</t>
  </si>
  <si>
    <t>10-100-00-0015-0210-200-0000</t>
  </si>
  <si>
    <t>10-100-00-0600-0110-200-0000</t>
  </si>
  <si>
    <t>10-100-00-0600-0120-200-0000</t>
  </si>
  <si>
    <t>10-100-00-0600-0210-200-0000</t>
  </si>
  <si>
    <t>10-100-00-0600-0215-200-0000</t>
  </si>
  <si>
    <t>10-100-00-0600-0221-200-0000</t>
  </si>
  <si>
    <t>10-100-00-0600-0230-200-0000</t>
  </si>
  <si>
    <t>10-100-00-0600-0250-200-0000</t>
  </si>
  <si>
    <t>10-100-00-0600-0600-000-0000</t>
  </si>
  <si>
    <t>10-200-00-0300-0110-200-3120</t>
  </si>
  <si>
    <t>10-200-00-0300-0120-200-3120</t>
  </si>
  <si>
    <t>10-200-00-0300-0210-200-3120</t>
  </si>
  <si>
    <t>10-200-00-0300-0215-200-3120</t>
  </si>
  <si>
    <t>10-200-00-0300-0221-200-3120</t>
  </si>
  <si>
    <t>10-200-00-0300-0230-200-3120</t>
  </si>
  <si>
    <t>10-200-00-0300-0250-200-3120</t>
  </si>
  <si>
    <t>10-200-00-0300-0600-000-3120</t>
  </si>
  <si>
    <t>10-200-00-0600-0110-200-0000</t>
  </si>
  <si>
    <t>10-200-00-0600-0120-200-0000</t>
  </si>
  <si>
    <t>10-200-00-0600-0210-200-0000</t>
  </si>
  <si>
    <t>10-200-00-0600-0215-200-0000</t>
  </si>
  <si>
    <t>10-200-00-0600-0221-200-0000</t>
  </si>
  <si>
    <t>10-200-00-0600-0230-200-0000</t>
  </si>
  <si>
    <t>10-200-00-0600-0250-200-0000</t>
  </si>
  <si>
    <t>10-200-00-0600-0600-000-0000</t>
  </si>
  <si>
    <t>10-200-00-1800-0540-000-0000</t>
  </si>
  <si>
    <t>10-200-00-1800-0580-000-0000</t>
  </si>
  <si>
    <t>10-200-00-1800-0610-000-0000</t>
  </si>
  <si>
    <t>10-200-00-1800-0611-000-1445</t>
  </si>
  <si>
    <t>10-200-00-1800-0810-000-0000</t>
  </si>
  <si>
    <t>10-300-00-0300-0110-200-0000</t>
  </si>
  <si>
    <t>10-300-00-0300-0120-200-0000</t>
  </si>
  <si>
    <t>10-300-00-0300-0210-200-0000</t>
  </si>
  <si>
    <t>10-300-00-0300-0215-200-0000</t>
  </si>
  <si>
    <t>10-300-00-0300-0221-200-0000</t>
  </si>
  <si>
    <t>10-300-00-0300-0230-200-0000</t>
  </si>
  <si>
    <t>10-300-00-0300-0250-200-0000</t>
  </si>
  <si>
    <t>10-300-00-0300-0600-000-0000</t>
  </si>
  <si>
    <t>10-300-00-1000-0400-000-3120</t>
  </si>
  <si>
    <t>10-300-00-1000-0735-000-3120</t>
  </si>
  <si>
    <t>10-500-00-0060-0150-201-3183</t>
  </si>
  <si>
    <t>10-500-00-0060-0215-201-3183</t>
  </si>
  <si>
    <t>10-500-00-0060-0221-201-3183</t>
  </si>
  <si>
    <t>10-500-00-0060-0230-201-3183</t>
  </si>
  <si>
    <t>10-500-00-0070-0215-200-3150</t>
  </si>
  <si>
    <t>10-500-00-0070-0221-200-3150</t>
  </si>
  <si>
    <t>10-500-00-0070-0230-200-3150</t>
  </si>
  <si>
    <t>10-500-00-0070-0581-000-3150</t>
  </si>
  <si>
    <t>10-500-00-0070-0600-000-3150</t>
  </si>
  <si>
    <t>10-500-00-0070-0730-000-3150</t>
  </si>
  <si>
    <t>10-500-00-0800-0300-000-1451</t>
  </si>
  <si>
    <t>10-500-00-0800-0735-000-1446</t>
  </si>
  <si>
    <t>10-500-00-0800-0735-000-1451</t>
  </si>
  <si>
    <t>10-500-00-1200-0120-200-0000</t>
  </si>
  <si>
    <t>10-500-00-1200-0210-200-0000</t>
  </si>
  <si>
    <t>10-500-00-1200-0250-200-0000</t>
  </si>
  <si>
    <t>10-500-00-1800-0610-000-0000</t>
  </si>
  <si>
    <t>10-500-00-2120-0150-405-3183</t>
  </si>
  <si>
    <t>10-500-00-2120-0215-405-3183</t>
  </si>
  <si>
    <t>10-500-00-2120-0221-405-3183</t>
  </si>
  <si>
    <t>10-500-00-2120-0230-405-3183</t>
  </si>
  <si>
    <t>10-500-00-2120-0600-000-3183</t>
  </si>
  <si>
    <t>10-500-00-2122-0300-000-3183</t>
  </si>
  <si>
    <t>10-500-00-2122-0600-000-3183</t>
  </si>
  <si>
    <t>10-500-00-2234-0215-210-0000</t>
  </si>
  <si>
    <t>10-500-00-2400-0110-400-0000</t>
  </si>
  <si>
    <t>10-500-00-2400-0120-105-0000</t>
  </si>
  <si>
    <t>10-500-00-2400-0210-400-0000</t>
  </si>
  <si>
    <t>10-500-00-2400-0215-400-0000</t>
  </si>
  <si>
    <t>10-500-00-2400-0221-400-0000</t>
  </si>
  <si>
    <t>10-500-00-2400-0230-400-0000</t>
  </si>
  <si>
    <t>10-500-00-2400-0250-400-0000</t>
  </si>
  <si>
    <t>10-509-00-0060-0580-000-3139</t>
  </si>
  <si>
    <t>10-509-00-0060-0600-000-3140</t>
  </si>
  <si>
    <t>10-509-00-0062-0580-000-4367</t>
  </si>
  <si>
    <t>10-509-00-0062-0600-000-4367</t>
  </si>
  <si>
    <t>10-509-00-0090-0110-200-4010</t>
  </si>
  <si>
    <t>10-509-00-0090-0110-400-4010</t>
  </si>
  <si>
    <t>10-509-00-0090-0320-000-4010</t>
  </si>
  <si>
    <t>10-509-00-0090-0600-000-4010</t>
  </si>
  <si>
    <t>10-509-00-0200-0600-000-4424</t>
  </si>
  <si>
    <t>10-509-00-1200-0600-000-4424</t>
  </si>
  <si>
    <t>10-509-00-0092-0600-000-3206</t>
  </si>
  <si>
    <t>10-509-00-2100-0600-000-4424</t>
  </si>
  <si>
    <t>10-600-00-1700-0150-200-3130</t>
  </si>
  <si>
    <t>10-600-00-1700-0300-000-3130</t>
  </si>
  <si>
    <t>10-600-00-2120-0600-000-3235</t>
  </si>
  <si>
    <t>10-600-00-2130-0110-233-0000</t>
  </si>
  <si>
    <t>10-600-00-2130-0215-233-0000</t>
  </si>
  <si>
    <t>10-600-00-2130-0221-233-0000</t>
  </si>
  <si>
    <t>10-600-00-2130-0230-233-0000</t>
  </si>
  <si>
    <t>10-600-00-2311-0110-506-0000</t>
  </si>
  <si>
    <t>10-600-00-2311-0215-506-0000</t>
  </si>
  <si>
    <t>10-600-00-2311-0221-506-0000</t>
  </si>
  <si>
    <t>10-600-00-2311-0230-506-0000</t>
  </si>
  <si>
    <t>10-600-00-2311-0310-000-0000</t>
  </si>
  <si>
    <t>10-600-00-2320-0869-000-4010</t>
  </si>
  <si>
    <t>10-600-00-2320-0869-000-4367</t>
  </si>
  <si>
    <t>10-600-00-2320-0869-000-4424</t>
  </si>
  <si>
    <t>10-600-00-2322-0110-400-1450</t>
  </si>
  <si>
    <t>10-600-00-2322-0110-400-1451</t>
  </si>
  <si>
    <t>10-600-00-2322-0210-400-1450</t>
  </si>
  <si>
    <t>10-600-00-2322-0210-400-1451</t>
  </si>
  <si>
    <t>10-600-00-2322-0215-400-1450</t>
  </si>
  <si>
    <t>10-600-00-2322-0215-400-1451</t>
  </si>
  <si>
    <t>10-600-00-2322-0221-400-1450</t>
  </si>
  <si>
    <t>10-600-00-2322-0221-400-1451</t>
  </si>
  <si>
    <t>10-600-00-2322-0230-400-1451</t>
  </si>
  <si>
    <t>10-600-00-2322-0230-400-1450</t>
  </si>
  <si>
    <t>10-600-00-2322-0250-400-1450</t>
  </si>
  <si>
    <t>10-600-00-2322-0250-400-1451</t>
  </si>
  <si>
    <t>10-600-00-2329-0110-400-0000</t>
  </si>
  <si>
    <t>10-600-00-2329-0210-400-0000</t>
  </si>
  <si>
    <t>10-600-00-2329-0215-400-0000</t>
  </si>
  <si>
    <t>10-600-00-2329-0221-400-0000</t>
  </si>
  <si>
    <t>10-600-00-2329-0230-400-0000</t>
  </si>
  <si>
    <t>10-600-00-2329-0250-400-0000</t>
  </si>
  <si>
    <t>10-600-00-2500-0110-103-1450</t>
  </si>
  <si>
    <t>10-600-00-2500-0110-103-1451</t>
  </si>
  <si>
    <t>10-600-00-2500-0215-103-1450</t>
  </si>
  <si>
    <t>10-600-00-2500-0215-103-1451</t>
  </si>
  <si>
    <t>10-600-00-2500-0221-103-1450</t>
  </si>
  <si>
    <t>10-600-00-2500-0221-103-1451</t>
  </si>
  <si>
    <t>10-600-00-2500-0230-103-1450</t>
  </si>
  <si>
    <t>10-600-00-2500-0230-103-1451</t>
  </si>
  <si>
    <t>10-600-00-2500-0869-000-4010</t>
  </si>
  <si>
    <t>10-700-00-2600-0110-357-0000</t>
  </si>
  <si>
    <t>10-700-00-2600-0210-357-0000</t>
  </si>
  <si>
    <t>10-700-00-2600-0215-357-0000</t>
  </si>
  <si>
    <t>10-700-00-2600-0230-357-0000</t>
  </si>
  <si>
    <t>10-700-00-2600-0221-357-0000</t>
  </si>
  <si>
    <t>10-700-00-2600-0250-357-0000</t>
  </si>
  <si>
    <t>10-700-00-2600-0442-000-0000</t>
  </si>
  <si>
    <t>10-700-00-2600-0580-000-0000</t>
  </si>
  <si>
    <t>10-700-00-2700-0150-602-3183</t>
  </si>
  <si>
    <t>10-700-00-2700-0215-602-3183</t>
  </si>
  <si>
    <t>10-700-00-2700-0221-602-3183</t>
  </si>
  <si>
    <t>10-700-00-2700-0230-602-3183</t>
  </si>
  <si>
    <t>10-700-00-2700-0250-613-0000</t>
  </si>
  <si>
    <t>10-700-00-2701-0601-000-0000</t>
  </si>
  <si>
    <t>19-100-00-0040-0110-415-3141</t>
  </si>
  <si>
    <t>19-100-00-0040-0120-415-3141</t>
  </si>
  <si>
    <t>19-100-00-0040-0150-200-3141</t>
  </si>
  <si>
    <t>19-100-00-0040-0210-200-3141</t>
  </si>
  <si>
    <t>19-100-00-0040-0210-415-3141</t>
  </si>
  <si>
    <t>19-100-00-0040-0215-415-3141</t>
  </si>
  <si>
    <t>19-100-00-0040-0221-415-3141</t>
  </si>
  <si>
    <t>19-100-00-0040-0230-415-3141</t>
  </si>
  <si>
    <t>19-100-00-0040-0250-415-3141</t>
  </si>
  <si>
    <t>19-100-00-2300-0310-000-3141</t>
  </si>
  <si>
    <t>19-100-00-2130-0110-233-3141</t>
  </si>
  <si>
    <t>19-100-00-2130-0215-233-3141</t>
  </si>
  <si>
    <t>19-100-00-2130-0221-233-3141</t>
  </si>
  <si>
    <t>19-100-00-2130-0230-233-3141</t>
  </si>
  <si>
    <t>19-100-00-2130-0300-000-3141</t>
  </si>
  <si>
    <t>19-100-00-2213-0580-000-3141</t>
  </si>
  <si>
    <t>19-100-00-2230-0150-107-3141</t>
  </si>
  <si>
    <t>19-100-00-2230-0210-107-3141</t>
  </si>
  <si>
    <t>19-100-00-2230-0215-107-3141</t>
  </si>
  <si>
    <t>19-100-00-2230-0221-107-3141</t>
  </si>
  <si>
    <t>19-100-00-2230-0230-107-3141</t>
  </si>
  <si>
    <t>19-100-00-2230-0250-107-3141</t>
  </si>
  <si>
    <t>19-100-00-4200-0700-000-3141</t>
  </si>
  <si>
    <t>21-000-00-0000-4010-000-4555</t>
  </si>
  <si>
    <t>21-700-00-3100-0110-607-0000</t>
  </si>
  <si>
    <t>21-700-00-3100-0110-607-4582</t>
  </si>
  <si>
    <t>21-700-00-3100-0110-613-0000</t>
  </si>
  <si>
    <t>21-700-00-3100-0210-607-0000</t>
  </si>
  <si>
    <t>21-700-00-3100-0210-613-0000</t>
  </si>
  <si>
    <t>21-700-00-3100-0215-607-0000</t>
  </si>
  <si>
    <t>21-700-00-3100-0215-607-4582</t>
  </si>
  <si>
    <t>21-700-00-3100-0215-613-0000</t>
  </si>
  <si>
    <t>21-700-00-3100-0221-607-0000</t>
  </si>
  <si>
    <t>21-700-00-3100-0221-607-4582</t>
  </si>
  <si>
    <t>21-700-00-3100-0221-613-0000</t>
  </si>
  <si>
    <t>21-700-00-3100-0230-607-0000</t>
  </si>
  <si>
    <t>21-700-00-3100-0230-613-0000</t>
  </si>
  <si>
    <t>21-700-00-3100-0250-607-0000</t>
  </si>
  <si>
    <t>21-700-00-3100-0250-613-0000</t>
  </si>
  <si>
    <t>21-700-00-3100-0500-000-0000</t>
  </si>
  <si>
    <t>21-700-00-3100-0602-000-4582</t>
  </si>
  <si>
    <t>31-800-00-0000-1143-000-0000</t>
  </si>
  <si>
    <t>31-850-00-0000-1143-000-0000</t>
  </si>
  <si>
    <t>43-500-00-0000-1500-000-0000</t>
  </si>
  <si>
    <t>43-500-00-2600-0730-000-0000</t>
  </si>
  <si>
    <t>10-000-00-0000-0001-000-0000</t>
  </si>
  <si>
    <t>19-000-00-0000-0001-000-0000</t>
  </si>
  <si>
    <t>21-000-00-0000-0001-000-0000</t>
  </si>
  <si>
    <t>31-800-00-0000-0001-000-0000</t>
  </si>
  <si>
    <t>31-850-00-0000-0001-000-0000</t>
  </si>
  <si>
    <t>43-500-00-0000-0001-000-0000</t>
  </si>
  <si>
    <t>9900</t>
  </si>
  <si>
    <t>990</t>
  </si>
  <si>
    <t>43-500-00-9100-0900-000-0000</t>
  </si>
  <si>
    <t>43-500-00-9900-0990-000-0000</t>
  </si>
  <si>
    <t>9310</t>
  </si>
  <si>
    <t>21-700-00-9310-0990-000-0000</t>
  </si>
  <si>
    <t>10-950-00-0000-5711-000-0000</t>
  </si>
  <si>
    <t>11-950-00-0000-0001-000-0000</t>
  </si>
  <si>
    <t>11-950-00-0000-3000-000-3113</t>
  </si>
  <si>
    <t>11-950-00-0000-4000-000-4424</t>
  </si>
  <si>
    <t>11-950-00-0000-4020-000-4358</t>
  </si>
  <si>
    <t>11-950-00-0000-3000-000-3115</t>
  </si>
  <si>
    <t>11-950-00-0000-5243-000-0000</t>
  </si>
  <si>
    <t>11-950-00-0011-0215-201-0000</t>
  </si>
  <si>
    <t>11-950-00-0012-0215-200-0000</t>
  </si>
  <si>
    <t>11-950-00-0013-0215-200-0000</t>
  </si>
  <si>
    <t>11-950-00-0013-0250-200-0000</t>
  </si>
  <si>
    <t>11-950-00-0014-0215-200-0000</t>
  </si>
  <si>
    <t>11-950-00-0026-0215-200-0000</t>
  </si>
  <si>
    <t>11-950-00-0026-0250-200-0000</t>
  </si>
  <si>
    <t>11-950-00-0030-0215-200-0000</t>
  </si>
  <si>
    <t>11-950-00-0030-0250-200-0000</t>
  </si>
  <si>
    <t>11-950-00-0060-0215-200-0000</t>
  </si>
  <si>
    <t>11-950-00-0060-0250-200-0000</t>
  </si>
  <si>
    <t>11-950-00-0060-0215-204-0000</t>
  </si>
  <si>
    <t>11-950-00-0060-0735-000-4424</t>
  </si>
  <si>
    <t>11-950-00-0061-0215-415-0000</t>
  </si>
  <si>
    <t>11-950-00-0061-0250-415-0000</t>
  </si>
  <si>
    <t>11-950-00-0062-0215-201-0000</t>
  </si>
  <si>
    <t>11-950-00-0063-0215-200-0000</t>
  </si>
  <si>
    <t>11-950-00-0063-0600-000-4424</t>
  </si>
  <si>
    <t>11-950-00-0067-0150-211-3183</t>
  </si>
  <si>
    <t>11-950-00-0067-0221-211-3183</t>
  </si>
  <si>
    <t>11-950-00-2120-0600-000-3183</t>
  </si>
  <si>
    <t>11-950-00-2122-0300-000-3183</t>
  </si>
  <si>
    <t>11-950-00-2120-0215-200-0000</t>
  </si>
  <si>
    <t>11-950-00-2120-0250-200-0000</t>
  </si>
  <si>
    <t>11-950-00-2120-0221-405-3183</t>
  </si>
  <si>
    <t>11-950-00-2122-0110-211-3183</t>
  </si>
  <si>
    <t>11-950-00-2122-0221-211-3183</t>
  </si>
  <si>
    <t>11-950-00-2400-0215-105-0000</t>
  </si>
  <si>
    <t>11-950-00-2400-0215-513-0000</t>
  </si>
  <si>
    <t>11-950-00-2400-0215-514-0000</t>
  </si>
  <si>
    <t>11-950-00-2400-0250-105-0000</t>
  </si>
  <si>
    <t>11-950-00-2400-0250-513-0000</t>
  </si>
  <si>
    <t>11-950-00-2400-0250-514-0000</t>
  </si>
  <si>
    <t>11-950-00-2600-0215-608-0000</t>
  </si>
  <si>
    <t>11-950-00-2701-0215-602-0000</t>
  </si>
  <si>
    <t>11-950-00-2840-0215-200-0000</t>
  </si>
  <si>
    <t>43-950-00-0000-5211-000-0000</t>
  </si>
  <si>
    <t>43-950-00-0000-0001-000-0000</t>
  </si>
  <si>
    <t>43-950-00-9100-0990-000-0000</t>
  </si>
  <si>
    <t>10-300-00-1500-0600-000-0000</t>
  </si>
  <si>
    <t>10-600-00-2120-0580-200-3235</t>
  </si>
  <si>
    <t>21-500-00-0000-5610-000-0000</t>
  </si>
  <si>
    <t>11-950-00-0015-0600-221-3206</t>
  </si>
  <si>
    <t>DIFFERENCE                        FY 18-19 &amp;         FY 19-20 REV</t>
  </si>
  <si>
    <t xml:space="preserve">BUDGET           FY 19-20 FINAL   </t>
  </si>
  <si>
    <r>
      <rPr>
        <b/>
        <sz val="19"/>
        <color theme="1"/>
        <rFont val="Arial"/>
        <family val="2"/>
      </rPr>
      <t xml:space="preserve">REVENUE FY 18-19   </t>
    </r>
    <r>
      <rPr>
        <b/>
        <sz val="20"/>
        <color theme="1"/>
        <rFont val="Arial"/>
        <family val="2"/>
      </rPr>
      <t xml:space="preserve"> ACTUAL</t>
    </r>
  </si>
  <si>
    <r>
      <rPr>
        <b/>
        <sz val="19"/>
        <color theme="1"/>
        <rFont val="Arial"/>
        <family val="2"/>
      </rPr>
      <t xml:space="preserve">EXPENDITURES            FY 18-19   </t>
    </r>
    <r>
      <rPr>
        <b/>
        <sz val="20"/>
        <color theme="1"/>
        <rFont val="Arial"/>
        <family val="2"/>
      </rPr>
      <t xml:space="preserve"> ACTUAL</t>
    </r>
  </si>
  <si>
    <t xml:space="preserve">HS Coaching Prof Services              </t>
  </si>
  <si>
    <t>330</t>
  </si>
  <si>
    <t xml:space="preserve">Extra Duty Pay - Title I      </t>
  </si>
  <si>
    <t>Unemployment - Title I</t>
  </si>
  <si>
    <t xml:space="preserve">Medicare - Title I      </t>
  </si>
  <si>
    <t xml:space="preserve">PERA - Title I                </t>
  </si>
  <si>
    <t>Prof Services - Running Club</t>
  </si>
  <si>
    <t>Snack Program Salary - Snack Grant</t>
  </si>
  <si>
    <t>Snack Program Unemp - Snack Grant</t>
  </si>
  <si>
    <t>Snack Program Medicare - Snack Grant</t>
  </si>
  <si>
    <t>Library Extra Duty</t>
  </si>
  <si>
    <t>3898</t>
  </si>
  <si>
    <t>State PERA Special Funding</t>
  </si>
  <si>
    <t>280</t>
  </si>
  <si>
    <t>Kindergarten - PERA Special Funding</t>
  </si>
  <si>
    <t>1990</t>
  </si>
  <si>
    <t>1632</t>
  </si>
  <si>
    <t>Special Function, Catered Services</t>
  </si>
  <si>
    <t>Jaycie (17k Title I)</t>
  </si>
  <si>
    <r>
      <t xml:space="preserve">Dale S &amp; Jaycie </t>
    </r>
    <r>
      <rPr>
        <sz val="20"/>
        <color rgb="FFFF0000"/>
        <rFont val="Calibri"/>
        <family val="2"/>
        <scheme val="minor"/>
      </rPr>
      <t>17</t>
    </r>
    <r>
      <rPr>
        <sz val="20"/>
        <color theme="1"/>
        <rFont val="Calibri"/>
        <family val="2"/>
        <scheme val="minor"/>
      </rPr>
      <t>k</t>
    </r>
  </si>
  <si>
    <t>Title I - Extra Duty (After School Coordinator)</t>
  </si>
  <si>
    <t>After School Coordinator</t>
  </si>
  <si>
    <t>After School Program Supplies</t>
  </si>
  <si>
    <t xml:space="preserve">Title I Supplies - After School                </t>
  </si>
  <si>
    <t xml:space="preserve">Title I - Educational Services - Concurrent Enr                   </t>
  </si>
  <si>
    <t>Title II - Purchased Services (Training)</t>
  </si>
  <si>
    <t>District Level</t>
  </si>
  <si>
    <t>Tutoring &amp; Meeting Stipends - EARSS Grant</t>
  </si>
  <si>
    <t>Tutoring &amp; Meeting Unemployment - EARSS Grant</t>
  </si>
  <si>
    <t>Tutoring &amp; Meeting Medicare - EARSS Grant</t>
  </si>
  <si>
    <t>Tutoring &amp; Meeting  PERA - EARSS Grant</t>
  </si>
  <si>
    <t>Professional Development - EARSS Grant</t>
  </si>
  <si>
    <t>Prof Services - Planning Meetings - EARSS</t>
  </si>
  <si>
    <t>Curriculum/Implementation - EARSS Grant</t>
  </si>
  <si>
    <t>Prof Service - Planning Meeting - EARSS</t>
  </si>
  <si>
    <t>5310</t>
  </si>
  <si>
    <t>Transfer from Title IA to Homeless Set Aside</t>
  </si>
  <si>
    <t>9202</t>
  </si>
  <si>
    <t xml:space="preserve">Title I Supplies - Homeless Set Aside             </t>
  </si>
  <si>
    <t>Title I Homeless Liaison - Homeless Set Aside</t>
  </si>
  <si>
    <t>3218</t>
  </si>
  <si>
    <t>School Professional Grant</t>
  </si>
  <si>
    <t>Stud Support Services Salary - Sch Prof Grant</t>
  </si>
  <si>
    <t>211</t>
  </si>
  <si>
    <t>Stud Support Services Unemp - Sch Prof Grant</t>
  </si>
  <si>
    <t>Stud Support Services Medicare - Sch Prof Grant</t>
  </si>
  <si>
    <t>Stud Support Services PERA - Sch Prof Grant</t>
  </si>
  <si>
    <t>Stud Support Services Fringe - Sch Prof Grant</t>
  </si>
  <si>
    <t>Stud Support Services Life &amp; Dis - Sch Prof Grant</t>
  </si>
  <si>
    <t>Collette</t>
  </si>
  <si>
    <t>Stud Supp Svcs - Prof Dev &amp; Travel - Sch Prof</t>
  </si>
  <si>
    <t xml:space="preserve">Support Program - Prof Dev - Sch Prof Grant                  </t>
  </si>
  <si>
    <t>Patte benefit %</t>
  </si>
  <si>
    <t>1482</t>
  </si>
  <si>
    <t xml:space="preserve">School Wide Supplies - Care &amp; Share               </t>
  </si>
  <si>
    <t>1480</t>
  </si>
  <si>
    <t>1481</t>
  </si>
  <si>
    <t xml:space="preserve">School Wide Supplies - Americorp              </t>
  </si>
  <si>
    <t xml:space="preserve">School Wide Supplies - McKinney Vento Grant             </t>
  </si>
  <si>
    <t>Wellness Curriculum - Aventa Grant</t>
  </si>
  <si>
    <t>Revised 2019-20 (12/11/19)</t>
  </si>
  <si>
    <t>23</t>
  </si>
  <si>
    <t>23 Total Expenditure</t>
  </si>
  <si>
    <t>23 Trust &amp; Agency Fund Expenditure</t>
  </si>
  <si>
    <t>23 Total Revenue</t>
  </si>
  <si>
    <t>23 Trust &amp; Agency Fund Revenue</t>
  </si>
  <si>
    <t>3210</t>
  </si>
  <si>
    <t>Equalization Adjustment</t>
  </si>
  <si>
    <t>Other Revenue Local - BOCES McK-V Grant</t>
  </si>
  <si>
    <t>Other Revenue Local - Care &amp; Share Grant</t>
  </si>
  <si>
    <t>Other Revenue Local - CACFP/AAI Grant</t>
  </si>
  <si>
    <t>1411</t>
  </si>
  <si>
    <t>Transportation Fees from Individuals</t>
  </si>
  <si>
    <t>3250</t>
  </si>
  <si>
    <t>CDE Revenue - Kindergarten Cap Constr</t>
  </si>
  <si>
    <t>PS Allocation (11.5 FTE x 14,500)</t>
  </si>
  <si>
    <t xml:space="preserve">Archery Equipment - AIM/XL Grant             </t>
  </si>
  <si>
    <t>1447</t>
  </si>
  <si>
    <t>Other Revenue Local - Mental Health Grant</t>
  </si>
  <si>
    <t>Supplies - Mental Health Grant</t>
  </si>
  <si>
    <t>Purchased Services - Room/lunch - EARSS</t>
  </si>
  <si>
    <t xml:space="preserve">Sch Adm Professional Service - SRLR  </t>
  </si>
  <si>
    <t>Natalin</t>
  </si>
  <si>
    <t>BOE Purchased Services (CASB)</t>
  </si>
  <si>
    <t xml:space="preserve">BOE Advertisment                   </t>
  </si>
  <si>
    <t xml:space="preserve">BOE Travel                         </t>
  </si>
  <si>
    <t xml:space="preserve">BOE Supplies                       </t>
  </si>
  <si>
    <t xml:space="preserve">BOE Dues &amp; Fees                    </t>
  </si>
  <si>
    <t>Supt Purchased Services (CASB)</t>
  </si>
  <si>
    <r>
      <t>July-</t>
    </r>
    <r>
      <rPr>
        <sz val="20"/>
        <color rgb="FFFF0000"/>
        <rFont val="Calibri"/>
        <family val="2"/>
        <scheme val="minor"/>
      </rPr>
      <t>Oct</t>
    </r>
  </si>
  <si>
    <r>
      <rPr>
        <sz val="20"/>
        <color rgb="FFFF0000"/>
        <rFont val="Calibri"/>
        <family val="2"/>
        <scheme val="minor"/>
      </rPr>
      <t>Nov</t>
    </r>
    <r>
      <rPr>
        <sz val="20"/>
        <color theme="1"/>
        <rFont val="Calibri"/>
        <family val="2"/>
        <scheme val="minor"/>
      </rPr>
      <t>-June</t>
    </r>
  </si>
  <si>
    <r>
      <t>Virginia (July-</t>
    </r>
    <r>
      <rPr>
        <sz val="20"/>
        <color rgb="FFFF0000"/>
        <rFont val="Calibri"/>
        <family val="2"/>
        <scheme val="minor"/>
      </rPr>
      <t>Oct</t>
    </r>
    <r>
      <rPr>
        <sz val="20"/>
        <color theme="1"/>
        <rFont val="Calibri"/>
        <family val="2"/>
        <scheme val="minor"/>
      </rPr>
      <t>)</t>
    </r>
  </si>
  <si>
    <r>
      <t>Virginia (</t>
    </r>
    <r>
      <rPr>
        <sz val="20"/>
        <color rgb="FFFF0000"/>
        <rFont val="Calibri"/>
        <family val="2"/>
        <scheme val="minor"/>
      </rPr>
      <t>Nov</t>
    </r>
    <r>
      <rPr>
        <sz val="20"/>
        <color theme="1"/>
        <rFont val="Calibri"/>
        <family val="2"/>
        <scheme val="minor"/>
      </rPr>
      <t>-June)</t>
    </r>
  </si>
  <si>
    <t xml:space="preserve">Phy. Ed. Equipment - MIH Grant              </t>
  </si>
  <si>
    <t xml:space="preserve">Kindergarten - Extra Duty            </t>
  </si>
  <si>
    <t xml:space="preserve">Curriculum/Implementation Stipend - MH CO </t>
  </si>
  <si>
    <t>Curriculum/Impl Stipend - Unemployment</t>
  </si>
  <si>
    <t>Curriculum/Imp Stipend - Medicare</t>
  </si>
  <si>
    <t>Curriculum/Impl Stipend - PERA</t>
  </si>
  <si>
    <t>MIH Wellness Team Stipends</t>
  </si>
  <si>
    <t>MIH Wellness Team Unemployment</t>
  </si>
  <si>
    <t xml:space="preserve">MIH Wellness Team Medicare                </t>
  </si>
  <si>
    <t xml:space="preserve">MIH Wellness Team Pera              </t>
  </si>
  <si>
    <t xml:space="preserve">MIH Supplies                      </t>
  </si>
  <si>
    <t>MIH Travel &amp; Training</t>
  </si>
  <si>
    <t xml:space="preserve">MIH Wellness Coordinator Stipends         </t>
  </si>
  <si>
    <t>Supplies - MIH Grant</t>
  </si>
  <si>
    <t xml:space="preserve">Cross Fit Curriculum - MIH Grant                 </t>
  </si>
  <si>
    <t>1/6 of Alej</t>
  </si>
  <si>
    <t xml:space="preserve">HS Math Teacher Aide Salary             </t>
  </si>
  <si>
    <t>Lori</t>
  </si>
  <si>
    <t>Alej</t>
  </si>
  <si>
    <t xml:space="preserve">HS Math Aide Substitute                 </t>
  </si>
  <si>
    <r>
      <t xml:space="preserve">Cat Silva (Dorraine &amp; 3 students to Title I), Laura .6 FTE, Flex Para 1FTE, </t>
    </r>
    <r>
      <rPr>
        <sz val="20"/>
        <color rgb="FFFF0000"/>
        <rFont val="Calibri"/>
        <family val="2"/>
        <scheme val="minor"/>
      </rPr>
      <t>1/3 Alej, Brittany</t>
    </r>
  </si>
  <si>
    <t>Dale S.</t>
  </si>
  <si>
    <t xml:space="preserve">Teacher/Interventionist  Pera - READ Act                      </t>
  </si>
  <si>
    <t>Health Benefits - READ Act</t>
  </si>
  <si>
    <t>Title I Stipend - Care &amp; Share/McK-V Prgm</t>
  </si>
  <si>
    <t>Kitchen</t>
  </si>
  <si>
    <t xml:space="preserve">Kindergarten Capital Construction             </t>
  </si>
  <si>
    <t xml:space="preserve">Equalization   226.5 PPF                    </t>
  </si>
  <si>
    <t>Stud Support Svcs Supplies - Sch Prof Grant</t>
  </si>
  <si>
    <t xml:space="preserve">First Gr. Aide - PERA Special Funding               </t>
  </si>
  <si>
    <t xml:space="preserve">First Gr. Teacher - PERA Special Funding               </t>
  </si>
  <si>
    <t xml:space="preserve">2nd Grade Teacher - PERA Special Funding            </t>
  </si>
  <si>
    <t xml:space="preserve">2nd Grade Aide - PERA Special Funding                </t>
  </si>
  <si>
    <t>3rd Grade PERA Special Funding</t>
  </si>
  <si>
    <t xml:space="preserve">4th Grade PERA Special Funding                 </t>
  </si>
  <si>
    <t xml:space="preserve">5th Grade PERA Special Funding    </t>
  </si>
  <si>
    <t>Elem Spanish PERA Special Funding</t>
  </si>
  <si>
    <t xml:space="preserve">MS LA PERA Special Funding                 </t>
  </si>
  <si>
    <t xml:space="preserve">MS LA Fringe                      </t>
  </si>
  <si>
    <t xml:space="preserve">MS Math PERA Special Funding                    </t>
  </si>
  <si>
    <t xml:space="preserve">MS SS PERA Special Funding                 </t>
  </si>
  <si>
    <t xml:space="preserve">MS Science PERA Special Funding    </t>
  </si>
  <si>
    <t xml:space="preserve">MS Spanish PERA Special Funding                 </t>
  </si>
  <si>
    <t xml:space="preserve">HS Bus PERA Special Funding               </t>
  </si>
  <si>
    <t xml:space="preserve">HS Language PERA Special Funding        </t>
  </si>
  <si>
    <t xml:space="preserve">HS For Lang PERA Special Funding           </t>
  </si>
  <si>
    <t xml:space="preserve">HS LifeSkills PERA Special Funding                       </t>
  </si>
  <si>
    <t xml:space="preserve">IA PERA Special Funding                         </t>
  </si>
  <si>
    <t xml:space="preserve">HS Math Teacher - PERA Special Funding         </t>
  </si>
  <si>
    <t xml:space="preserve">HS Math Aide - PERA Special Funding         </t>
  </si>
  <si>
    <t xml:space="preserve">HS Science PERA Special Funding              </t>
  </si>
  <si>
    <t xml:space="preserve">HS SS PERA Special Funding                     </t>
  </si>
  <si>
    <t>Teacher PERA Special Funding</t>
  </si>
  <si>
    <t xml:space="preserve">Teacher Aide PERA Special Funding            </t>
  </si>
  <si>
    <t>Art PERA Special Funding</t>
  </si>
  <si>
    <t xml:space="preserve">Phy. Ed. PERA Special Funding                </t>
  </si>
  <si>
    <t>Music PERA Special Funding</t>
  </si>
  <si>
    <t>Activity Director PERA Special Funding</t>
  </si>
  <si>
    <t xml:space="preserve">Principal PERA Special Funding             </t>
  </si>
  <si>
    <t xml:space="preserve">Attendance Aide PERA Special Funding             </t>
  </si>
  <si>
    <t xml:space="preserve">Secretary PERA Special Funding             </t>
  </si>
  <si>
    <t>DAC PERA Special Funding</t>
  </si>
  <si>
    <t xml:space="preserve">Sped PERA Special Funding             </t>
  </si>
  <si>
    <t xml:space="preserve">Sped Aide PERA Special Funding                </t>
  </si>
  <si>
    <t xml:space="preserve">Guidance PERA Special Funding          </t>
  </si>
  <si>
    <t>Nurse - PERA Special Funding</t>
  </si>
  <si>
    <t xml:space="preserve">Library Director PERA Special Funding      </t>
  </si>
  <si>
    <t xml:space="preserve">Superintendent PERA Special Funding          </t>
  </si>
  <si>
    <t xml:space="preserve">Wellness Coordinator PERA Special Funding        </t>
  </si>
  <si>
    <t>District Secretary PERA Special Funding</t>
  </si>
  <si>
    <t xml:space="preserve">Business Office PERA Special Funding           </t>
  </si>
  <si>
    <t xml:space="preserve">CompTech PERA Special Funding                  </t>
  </si>
  <si>
    <t xml:space="preserve">O/M Facilities Director PERA Spec Funding              </t>
  </si>
  <si>
    <t>O/M Custodial PERA Special Funding</t>
  </si>
  <si>
    <t xml:space="preserve">O/M Custodial Manager PERA Spec Funding             </t>
  </si>
  <si>
    <t xml:space="preserve">Transp Drivers PERA Special Funding           </t>
  </si>
  <si>
    <t xml:space="preserve">Transp Director PERA Special Funding           </t>
  </si>
  <si>
    <t xml:space="preserve">Ath Act Driver PERA Special Funding         </t>
  </si>
  <si>
    <t>Iris, Crissy, D.Janes,M.Benavidez</t>
  </si>
  <si>
    <t xml:space="preserve">Staff Development - SRLR                 </t>
  </si>
  <si>
    <t>Revised 12/11/19</t>
  </si>
  <si>
    <t>Adopted at a regular meeting of the Board of Education of Moffat Consolidated School on the 11th day of December, 2019</t>
  </si>
  <si>
    <t>Holly F</t>
  </si>
  <si>
    <t>6k Chad, Lance, Lexy</t>
  </si>
  <si>
    <t>Jack Greenhouse stipend July-Aug; Linda Director</t>
  </si>
  <si>
    <t>Grounds/Playground</t>
  </si>
  <si>
    <t>Includes $ to replace items damaged on 10-31-18 water incident</t>
  </si>
  <si>
    <t>PS CPP Tax Check Off</t>
  </si>
  <si>
    <t>19-100-00-0040-0310-000-3141</t>
  </si>
  <si>
    <t>19-100-00-0040-0320-000-3141</t>
  </si>
  <si>
    <t>G/T Professional Dev/Travel</t>
  </si>
  <si>
    <t>514</t>
  </si>
  <si>
    <t xml:space="preserve">Student Transp Purchased from Parents                 </t>
  </si>
  <si>
    <t>10-600-00-2222-0110-400-0000</t>
  </si>
  <si>
    <t>Final Budget, Resolved by the Board of Education on 12/11/2019</t>
  </si>
  <si>
    <t>Crow</t>
  </si>
  <si>
    <t>Preliminary Budget 2018-2019</t>
  </si>
  <si>
    <t>Actuals Year End 2018-2019</t>
  </si>
  <si>
    <t xml:space="preserve"> Preliminary Budget 2019-2020</t>
  </si>
  <si>
    <t>October Final Budget 2019-2020</t>
  </si>
  <si>
    <t xml:space="preserve">October Final Budget 2018-2019 </t>
  </si>
  <si>
    <t>11-950-00-0000-1900-000-1470</t>
  </si>
  <si>
    <t>Colorado Health Foundation</t>
  </si>
  <si>
    <t>11-950-00-0000-3000-000-3250</t>
  </si>
  <si>
    <t>Kinder Capital Construction</t>
  </si>
  <si>
    <t>11-950-00-0000-3000-000-3235</t>
  </si>
  <si>
    <t>At-Risk Additional</t>
  </si>
  <si>
    <t>11-950-00-0000-3951-000-3150</t>
  </si>
  <si>
    <t>G/T</t>
  </si>
  <si>
    <t>ELPA Program</t>
  </si>
  <si>
    <t>11-950-00-0000-3000-000-3140</t>
  </si>
  <si>
    <t>11-950-00-0000-3000-000-3139</t>
  </si>
  <si>
    <t>ELPA PD</t>
  </si>
  <si>
    <t>11-950-00-0011-0110-201-4010</t>
  </si>
  <si>
    <t>11-950-00-0011-0730-000-3250</t>
  </si>
  <si>
    <t>Kinder Capital Construction Equipt</t>
  </si>
  <si>
    <t>Title I Intervention</t>
  </si>
  <si>
    <t>EARSS Professional Development</t>
  </si>
  <si>
    <t>EARSS Attendance &amp; RJ Supplies</t>
  </si>
  <si>
    <t>11-950-00-0065-0100-200-3150</t>
  </si>
  <si>
    <t>Gifted &amp; Talented Salary</t>
  </si>
  <si>
    <t>11-950-00-0065-0215-200-3150</t>
  </si>
  <si>
    <t>G &amp; T Unemployment</t>
  </si>
  <si>
    <t>11-950-00-0065-0221-200-3150</t>
  </si>
  <si>
    <t>G &amp; T Medicare</t>
  </si>
  <si>
    <t>11-950-00-0065-0230-200-3150</t>
  </si>
  <si>
    <t>G &amp; T PERA</t>
  </si>
  <si>
    <t>11-950-00-0015-0581-000-3150</t>
  </si>
  <si>
    <t>G &amp; T Activities</t>
  </si>
  <si>
    <t>11-950-00-0015-0600-000-3150</t>
  </si>
  <si>
    <t>Gifted &amp; Talented Supplies</t>
  </si>
  <si>
    <t>11-950-00-0815-0150-200-0000</t>
  </si>
  <si>
    <t>Family Life Education Salary</t>
  </si>
  <si>
    <t>11-950-00-0815-0215-200-0000</t>
  </si>
  <si>
    <t>Family Life Unemployment</t>
  </si>
  <si>
    <t>Family Life Medicare</t>
  </si>
  <si>
    <t>11-950-00-0815-0221-200-0000</t>
  </si>
  <si>
    <t>11-950-00-0815-0230-200-0000</t>
  </si>
  <si>
    <t>Family Life PERA</t>
  </si>
  <si>
    <t>11-950-00-0815-0600-000-0000</t>
  </si>
  <si>
    <t>Family Life Education Supplies</t>
  </si>
  <si>
    <t>Title I Homeless Coordinator</t>
  </si>
  <si>
    <t>11-950-00-0065-0600-000-4010</t>
  </si>
  <si>
    <t>Title I Homeless Supplies</t>
  </si>
  <si>
    <t>11-950-00-2120-0600-000-3115</t>
  </si>
  <si>
    <t>At-Risk Supplemental</t>
  </si>
  <si>
    <t>Total At Risk Supplemental</t>
  </si>
  <si>
    <t>11-950-00-2120-0600-000-3235</t>
  </si>
  <si>
    <t>Total At Risk Additional</t>
  </si>
  <si>
    <t>11-950-00-0060-0600-000-3140</t>
  </si>
  <si>
    <t>Total ELPA Program</t>
  </si>
  <si>
    <t>11-950-00-0060-0580-000-3139</t>
  </si>
  <si>
    <t>11-950-00-0060-0250-200-1003</t>
  </si>
  <si>
    <t>Gates Grant Fringe</t>
  </si>
  <si>
    <t>11-950-00-0060-0215-200-1003</t>
  </si>
  <si>
    <t>TOTAL 0070 GIFTED &amp; TALENTED</t>
  </si>
  <si>
    <t>TOTAL 0815 FAMILY LIFE EDUCATION</t>
  </si>
  <si>
    <t>Actuals Year End June 30 2019</t>
  </si>
  <si>
    <t>Preliminary Budget 2019-2020</t>
  </si>
  <si>
    <t>Actual Year End June 30,2019</t>
  </si>
  <si>
    <t>43-950-00-2600-0700-000-0000</t>
  </si>
  <si>
    <t>11-950-00-2670-0760-000-1470</t>
  </si>
  <si>
    <t>43-950-6750-0000</t>
  </si>
  <si>
    <t>Capital Projects Reserve</t>
  </si>
  <si>
    <t>BEST Renewal Reserve</t>
  </si>
  <si>
    <t>43-950-6727-0000</t>
  </si>
  <si>
    <t>10-000-00-0000-1411-000-0000</t>
  </si>
  <si>
    <t>10-000-00-0000-1900-000-1444</t>
  </si>
  <si>
    <t>10-000-00-0000-1900-000-1443</t>
  </si>
  <si>
    <t>10-000-00-0000-1900-000-1447</t>
  </si>
  <si>
    <t>10-000-00-0000-1900-000-1482</t>
  </si>
  <si>
    <t>10-000-00-0000-1900-000-1481</t>
  </si>
  <si>
    <t>10-000-00-0000-1900-000-1480</t>
  </si>
  <si>
    <t>10-000-00-0000-1900-000-1460</t>
  </si>
  <si>
    <t>10-000-00-0000-1985-000-0000</t>
  </si>
  <si>
    <t>10-000-00-0000-3000-000-3218</t>
  </si>
  <si>
    <t>10-000-00-0000-3000-000-3898</t>
  </si>
  <si>
    <t>10-000-00-0000-3000-000-3250</t>
  </si>
  <si>
    <t>10-000-00-0000-3210-000-0000</t>
  </si>
  <si>
    <t>10-000-00-0000-3200-000-3160</t>
  </si>
  <si>
    <t>10-000-00-0000-4010-000-7665</t>
  </si>
  <si>
    <t>10-100-00-0010-0150-200-0000</t>
  </si>
  <si>
    <t>10-100-00-0010-0600-000-3250</t>
  </si>
  <si>
    <t>10-100-00-0011-0280-400-3898</t>
  </si>
  <si>
    <t>10-100-00-0011-0280-200-3898</t>
  </si>
  <si>
    <t>10-100-00-0012-0280-400-3898</t>
  </si>
  <si>
    <t>10-100-00-0012-0280-200-3898</t>
  </si>
  <si>
    <t>10-100-00-0013-0280-200-3898</t>
  </si>
  <si>
    <t>10-100-00-0014-0280-200-3898</t>
  </si>
  <si>
    <t>10-100-00-0015-0280-200-3898</t>
  </si>
  <si>
    <t>10-100-00-0600-0280-200-3898</t>
  </si>
  <si>
    <t>10-200-00-0021-0280-200-3898</t>
  </si>
  <si>
    <t>10-200-00-0022-0280-200-3898</t>
  </si>
  <si>
    <t>10-200-00-0023-0280-200-3898</t>
  </si>
  <si>
    <t>10-200-00-0027-0280-200-3898</t>
  </si>
  <si>
    <t>10-200-00-0600-0280-200-3898</t>
  </si>
  <si>
    <t>10-300-00-0300-0280-200-3898</t>
  </si>
  <si>
    <t>10-300-00-0500-0280-200-3898</t>
  </si>
  <si>
    <t>10-300-00-0600-0280-200-3898</t>
  </si>
  <si>
    <t>10-300-00-0900-0600-000-0000</t>
  </si>
  <si>
    <t>10-300-00-1000-0110-200-0000</t>
  </si>
  <si>
    <t>10-300-00-1000-0120-200-0000</t>
  </si>
  <si>
    <t>10-300-00-1000-0210-200-0000</t>
  </si>
  <si>
    <t>10-300-00-1000-0215-200-0000</t>
  </si>
  <si>
    <t>10-300-00-1000-0221-200-0000</t>
  </si>
  <si>
    <t>10-300-00-1000-0230-200-0000</t>
  </si>
  <si>
    <t>10-300-00-1000-0250-200-0000</t>
  </si>
  <si>
    <t>10-300-00-1000-0320-000-0000</t>
  </si>
  <si>
    <t>10-300-00-1000-0400-000-0000</t>
  </si>
  <si>
    <t>10-300-00-1000-0600-000-0000</t>
  </si>
  <si>
    <t>10-300-00-1000-0735-000-0000</t>
  </si>
  <si>
    <t>10-300-00-1000-0280-200-3898</t>
  </si>
  <si>
    <t>10-300-00-1100-0110-400-0000</t>
  </si>
  <si>
    <t>10-300-00-1100-0120-400-0000</t>
  </si>
  <si>
    <t>10-300-00-1100-0210-400-0000</t>
  </si>
  <si>
    <t>10-300-00-1100-0215-400-0000</t>
  </si>
  <si>
    <t>10-300-00-1100-0221-400-0000</t>
  </si>
  <si>
    <t>10-300-00-1100-0230-400-0000</t>
  </si>
  <si>
    <t>10-300-00-1100-0280-400-3898</t>
  </si>
  <si>
    <t>10-300-00-1100-0280-200-3898</t>
  </si>
  <si>
    <t>10-300-00-1100-0250-400-0000</t>
  </si>
  <si>
    <t>10-300-00-1500-0280-200-3898</t>
  </si>
  <si>
    <t>10-500-00-0060-0150-400-1447</t>
  </si>
  <si>
    <t>10-500-00-0060-0215-400-1447</t>
  </si>
  <si>
    <t>10-500-00-0060-0221-400-1447</t>
  </si>
  <si>
    <t>10-500-00-0060-0230-400-1447</t>
  </si>
  <si>
    <t>10-500-00-0060-0230-201-3206</t>
  </si>
  <si>
    <t>10-500-00-0060-0250-201-3206</t>
  </si>
  <si>
    <t>10-500-00-0060-0300-000-3183</t>
  </si>
  <si>
    <t>10-500-00-0060-0280-204-3898</t>
  </si>
  <si>
    <t>10-500-00-0060-0280-400-3898</t>
  </si>
  <si>
    <t>10-500-00-0060-0500-000-3183</t>
  </si>
  <si>
    <t>10-500-00-0060-0600-000-3230</t>
  </si>
  <si>
    <t>10-500-00-0060-0600-000-3183</t>
  </si>
  <si>
    <t>10-500-00-0060-0600-000-1482</t>
  </si>
  <si>
    <t>10-500-00-0060-0600-000-1481</t>
  </si>
  <si>
    <t>10-500-00-0060-0600-000-1480</t>
  </si>
  <si>
    <t>10-500-00-0060-0600-000-1451</t>
  </si>
  <si>
    <t>10-500-00-0060-0600-000-1447</t>
  </si>
  <si>
    <t>10-500-00-0060-0640-000-3230</t>
  </si>
  <si>
    <t>10-500-00-0070-0580-000-3150</t>
  </si>
  <si>
    <t>10-500-00-0200-0280-200-3898</t>
  </si>
  <si>
    <t>10-500-00-0200-0600-000-1444</t>
  </si>
  <si>
    <t>10-500-00-0800-0280-200-3898</t>
  </si>
  <si>
    <t>10-500-00-0800-0600-000-1451</t>
  </si>
  <si>
    <t>10-500-00-0800-0735-000-1450</t>
  </si>
  <si>
    <t>10-500-00-1200-0280-200-3898</t>
  </si>
  <si>
    <t>10-500-00-1800-0110-210-1443</t>
  </si>
  <si>
    <t>10-500-00-1800-0215-210-1443</t>
  </si>
  <si>
    <t>10-500-00-1800-0221-210-1443</t>
  </si>
  <si>
    <t>10-500-00-1800-0230-210-1443</t>
  </si>
  <si>
    <t>10-500-00-1800-0300-000-1443</t>
  </si>
  <si>
    <t>10-500-00-1800-0600-000-1443</t>
  </si>
  <si>
    <t>10-500-00-2122-0250-211-3218</t>
  </si>
  <si>
    <t>10-500-00-2122-0230-211-3218</t>
  </si>
  <si>
    <t>10-500-00-2122-0221-211-3218</t>
  </si>
  <si>
    <t>10-500-00-2122-0215-211-3218</t>
  </si>
  <si>
    <t>10-500-00-2122-0210-211-3218</t>
  </si>
  <si>
    <t>10-500-00-2122-0580-000-3218</t>
  </si>
  <si>
    <t>10-500-00-2122-0500-000-3183</t>
  </si>
  <si>
    <t>10-500-00-2122-0600-000-3218</t>
  </si>
  <si>
    <t>10-500-00-2213-0580-200-3218</t>
  </si>
  <si>
    <t>10-500-00-2213-0580-200-3230</t>
  </si>
  <si>
    <t>10-500-00-2234-0280-210-3898</t>
  </si>
  <si>
    <t>10-500-00-2400-0280-506-3898</t>
  </si>
  <si>
    <t>10-500-00-2400-0280-105-3898</t>
  </si>
  <si>
    <t>10-500-00-2400-0280-400-3898</t>
  </si>
  <si>
    <t>10-500-00-2400-0334-000-3230</t>
  </si>
  <si>
    <t>10-509-00-0062-0280-400-3898</t>
  </si>
  <si>
    <t>10-509-00-0090-0110-200-9202</t>
  </si>
  <si>
    <t>10-509-00-0090-0150-400-4010</t>
  </si>
  <si>
    <t>10-509-00-0090-0215-400-4010</t>
  </si>
  <si>
    <t>10-509-00-0090-0221-400-4010</t>
  </si>
  <si>
    <t>10-509-00-0090-0230-400-4010</t>
  </si>
  <si>
    <t>10-509-00-0090-0600-000-9202</t>
  </si>
  <si>
    <t>10-600-00-1700-0120-416-3130</t>
  </si>
  <si>
    <t>10-600-00-1700-0280-200-3898</t>
  </si>
  <si>
    <t>10-600-00-1700-0280-416-3898</t>
  </si>
  <si>
    <t>10-600-00-2120-0280-200-3898</t>
  </si>
  <si>
    <t>10-600-00-2130-0280-233-3898</t>
  </si>
  <si>
    <t>10-600-00-2222-0150-400-0000</t>
  </si>
  <si>
    <t>10-600-00-2222-0280-400-3898</t>
  </si>
  <si>
    <t>10-600-00-2311-0500-000-0000</t>
  </si>
  <si>
    <t>10-600-00-2320-0280-101-3898</t>
  </si>
  <si>
    <t>10-600-00-2320-0334-000-3230</t>
  </si>
  <si>
    <t>10-600-00-2320-0500-000-0000</t>
  </si>
  <si>
    <t>10-600-00-2322-0150-400-1451</t>
  </si>
  <si>
    <t>10-600-00-2322-0215-407-1451</t>
  </si>
  <si>
    <t>10-600-00-2322-0221-407-1451</t>
  </si>
  <si>
    <t>10-600-00-2322-0230-407-1451</t>
  </si>
  <si>
    <t>10-600-00-2322-0280-400-3898</t>
  </si>
  <si>
    <t>10-600-00-2322-0580-000-1450</t>
  </si>
  <si>
    <t>10-600-00-2322-0580-000-1451</t>
  </si>
  <si>
    <t>10-600-00-2322-0600-000-1450</t>
  </si>
  <si>
    <t>10-600-00-2322-0600-000-1451</t>
  </si>
  <si>
    <t>10-600-00-2322-0600-000-1460</t>
  </si>
  <si>
    <t>10-600-00-2329-0280-400-3898</t>
  </si>
  <si>
    <t>10-600-00-2500-0280-103-3898</t>
  </si>
  <si>
    <t>10-601-00-2840-0280-103-3898</t>
  </si>
  <si>
    <t>10-601-00-2840-0734-000-3230</t>
  </si>
  <si>
    <t>10-700-00-2600-0280-357-3898</t>
  </si>
  <si>
    <t>10-700-00-2600-0280-608-3898</t>
  </si>
  <si>
    <t>10-700-00-2600-0280-613-3898</t>
  </si>
  <si>
    <t>10-700-00-2700-0280-602-3898</t>
  </si>
  <si>
    <t>10-700-00-2700-0280-613-3898</t>
  </si>
  <si>
    <t>10-700-00-2700-0514-000-0000</t>
  </si>
  <si>
    <t>10-700-00-2701-0280-602-3898</t>
  </si>
  <si>
    <t>10-500-00-2122-0110-211-3218</t>
  </si>
  <si>
    <t>19-000-00-0000-3000-000-3141</t>
  </si>
  <si>
    <t>21-000-00-0000-1632-000-0000</t>
  </si>
  <si>
    <t>Dustin &amp; Deb</t>
  </si>
  <si>
    <t>Student</t>
  </si>
  <si>
    <t>23-500-00-0000-0001-000-0000</t>
  </si>
  <si>
    <t>23-500-00-0000-1900-000-0000</t>
  </si>
  <si>
    <t>23-500-00-1800-0600-000-0000</t>
  </si>
  <si>
    <t>11-950-00-0015-0215-415-3206</t>
  </si>
  <si>
    <t>TOTAL 2670 Costs</t>
  </si>
  <si>
    <t>11-950-00-0065-0100-200-4010</t>
  </si>
  <si>
    <t>11-950-00-2600-0250-608-0000</t>
  </si>
  <si>
    <t>23-950-00-0000-0001-000-0000</t>
  </si>
  <si>
    <t>23-950-00-0000-1900-000-0000</t>
  </si>
  <si>
    <t>23-950-00-0000-1500-000-0000</t>
  </si>
  <si>
    <t>23-950-00-1800-0600-000-0000</t>
  </si>
  <si>
    <t>23-950-00-9100-0990-000-0000</t>
  </si>
  <si>
    <t>10-509-00-0062-0300-000-4367</t>
  </si>
  <si>
    <t>10-509-00-0060-0600-000-4424</t>
  </si>
  <si>
    <t>10-000-00-0000-5819-000-3141</t>
  </si>
  <si>
    <t>10-100-00-0010-0280-200-3898</t>
  </si>
  <si>
    <t>10-300-00-1300-0280-200-3898</t>
  </si>
  <si>
    <t>10-600-00-2322-0110-407-1451</t>
  </si>
  <si>
    <t>10-600-00-2320-0120-101-0000</t>
  </si>
  <si>
    <t>19-100-00-0040-0310-200-3141</t>
  </si>
  <si>
    <t>19-100-00-0040-0320-200-3141</t>
  </si>
  <si>
    <t>11-950-00-0065-0300-000-4010</t>
  </si>
  <si>
    <t>11-950-00-0000-4000-000-4000</t>
  </si>
  <si>
    <t>10-600-00-2222-0120-400-0000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</si>
</sst>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164" formatCode="&quot;$&quot;#,##0.00"/>
    <numFmt numFmtId="165" formatCode="mm/dd/yy;@"/>
    <numFmt numFmtId="166" formatCode="#,##0.0_);\(#,##0.0\)"/>
    <numFmt numFmtId="167" formatCode="#,##0.00\ ;&quot; (&quot;#,##0.00\);&quot; -&quot;#\ ;@\ "/>
    <numFmt numFmtId="168" formatCode="\$#,##0"/>
    <numFmt numFmtId="169" formatCode="&quot; $&quot;#,##0\ ;&quot; $(&quot;#,##0\);&quot; $-&quot;#\ ;@\ "/>
    <numFmt numFmtId="170" formatCode="&quot; $&quot;#,##0\ ;&quot; $(&quot;#,##0\);&quot; $- &quot;;@\ "/>
    <numFmt numFmtId="171" formatCode="\$#,##0\ ;&quot;($&quot;#,##0\)"/>
    <numFmt numFmtId="172" formatCode="&quot;$&quot;#,##0"/>
    <numFmt numFmtId="173" formatCode="&quot;$&quot;#,##0.00;[Red]&quot;$&quot;#,##0.00"/>
  </numFmts>
  <fonts count="62" x14ac:knownFonts="1">
    <font>
      <sz val="11"/>
      <color theme="1"/>
      <name val="Calibri"/>
      <family val="2"/>
      <scheme val="minor"/>
    </font>
    <font>
      <b/>
      <sz val="11"/>
      <color theme="1"/>
      <name val="Calibri"/>
      <family val="2"/>
      <scheme val="minor"/>
    </font>
    <font>
      <sz val="8"/>
      <name val="Arial"/>
      <family val="2"/>
    </font>
    <font>
      <b/>
      <sz val="8"/>
      <name val="Arial"/>
      <family val="2"/>
    </font>
    <font>
      <u/>
      <sz val="11"/>
      <color theme="10"/>
      <name val="Calibri"/>
      <family val="2"/>
      <scheme val="minor"/>
    </font>
    <font>
      <u/>
      <sz val="11"/>
      <color theme="11"/>
      <name val="Calibri"/>
      <family val="2"/>
      <scheme val="minor"/>
    </font>
    <font>
      <sz val="11"/>
      <name val="Arial"/>
      <family val="2"/>
    </font>
    <font>
      <b/>
      <sz val="11"/>
      <name val="Arial"/>
      <family val="2"/>
    </font>
    <font>
      <sz val="16"/>
      <color theme="1"/>
      <name val="Calibri"/>
      <family val="2"/>
      <scheme val="minor"/>
    </font>
    <font>
      <sz val="20"/>
      <color theme="1"/>
      <name val="Calibri"/>
      <family val="2"/>
      <scheme val="minor"/>
    </font>
    <font>
      <b/>
      <sz val="20"/>
      <color theme="1"/>
      <name val="Calibri"/>
      <family val="2"/>
      <scheme val="minor"/>
    </font>
    <font>
      <sz val="24"/>
      <color theme="1"/>
      <name val="Calibri"/>
      <family val="2"/>
      <scheme val="minor"/>
    </font>
    <font>
      <b/>
      <sz val="24"/>
      <color theme="1"/>
      <name val="Calibri"/>
      <family val="2"/>
      <scheme val="minor"/>
    </font>
    <font>
      <sz val="20"/>
      <name val="Arial"/>
      <family val="2"/>
    </font>
    <font>
      <b/>
      <sz val="20"/>
      <name val="Arial"/>
      <family val="2"/>
    </font>
    <font>
      <sz val="11"/>
      <color rgb="FFFF0000"/>
      <name val="Calibri"/>
      <family val="2"/>
      <scheme val="minor"/>
    </font>
    <font>
      <b/>
      <sz val="18"/>
      <color theme="1"/>
      <name val="Calibri"/>
      <family val="2"/>
      <scheme val="minor"/>
    </font>
    <font>
      <sz val="11"/>
      <name val="Calibri"/>
      <family val="2"/>
      <scheme val="minor"/>
    </font>
    <font>
      <sz val="20"/>
      <name val="Calibri"/>
      <family val="2"/>
      <scheme val="minor"/>
    </font>
    <font>
      <b/>
      <sz val="20"/>
      <name val="Calibri"/>
      <family val="2"/>
      <scheme val="minor"/>
    </font>
    <font>
      <sz val="20"/>
      <color rgb="FFFF0000"/>
      <name val="Calibri"/>
      <family val="2"/>
      <scheme val="minor"/>
    </font>
    <font>
      <b/>
      <sz val="20"/>
      <color rgb="FFFF0000"/>
      <name val="Calibri"/>
      <family val="2"/>
      <scheme val="minor"/>
    </font>
    <font>
      <b/>
      <sz val="12"/>
      <name val="Calibri"/>
      <family val="2"/>
      <scheme val="minor"/>
    </font>
    <font>
      <b/>
      <sz val="14"/>
      <color theme="1"/>
      <name val="Arial Black"/>
      <family val="2"/>
    </font>
    <font>
      <b/>
      <sz val="10"/>
      <color theme="1"/>
      <name val="Arial Black"/>
      <family val="2"/>
    </font>
    <font>
      <b/>
      <sz val="14"/>
      <name val="Arial"/>
      <family val="2"/>
    </font>
    <font>
      <b/>
      <sz val="14"/>
      <name val="Arial Black"/>
      <family val="2"/>
    </font>
    <font>
      <sz val="22"/>
      <color theme="1"/>
      <name val="Arial"/>
      <family val="2"/>
    </font>
    <font>
      <b/>
      <sz val="22"/>
      <color theme="1"/>
      <name val="Arial"/>
      <family val="2"/>
    </font>
    <font>
      <b/>
      <sz val="20"/>
      <color theme="1"/>
      <name val="Arial"/>
      <family val="2"/>
    </font>
    <font>
      <sz val="20"/>
      <color theme="1"/>
      <name val="Arial"/>
      <family val="2"/>
    </font>
    <font>
      <sz val="20"/>
      <color rgb="FFFF0000"/>
      <name val="Arial"/>
      <family val="2"/>
    </font>
    <font>
      <b/>
      <sz val="18"/>
      <color theme="1"/>
      <name val="Arial"/>
      <family val="2"/>
    </font>
    <font>
      <b/>
      <sz val="11"/>
      <color theme="1"/>
      <name val="Arial"/>
      <family val="2"/>
    </font>
    <font>
      <b/>
      <sz val="19"/>
      <color theme="1"/>
      <name val="Arial"/>
      <family val="2"/>
    </font>
    <font>
      <b/>
      <sz val="10"/>
      <name val="Arial"/>
      <family val="2"/>
    </font>
    <font>
      <sz val="14"/>
      <name val="Arial"/>
      <family val="2"/>
    </font>
    <font>
      <b/>
      <sz val="16"/>
      <name val="Arial"/>
      <family val="2"/>
    </font>
    <font>
      <sz val="14"/>
      <color indexed="8"/>
      <name val="Arial"/>
      <family val="2"/>
    </font>
    <font>
      <sz val="18"/>
      <name val="Helv"/>
    </font>
    <font>
      <sz val="18"/>
      <name val="Arial"/>
      <family val="2"/>
    </font>
    <font>
      <sz val="11"/>
      <color theme="1"/>
      <name val="Calibri"/>
      <family val="2"/>
      <scheme val="minor"/>
    </font>
    <font>
      <sz val="10"/>
      <name val="Arial"/>
      <family val="2"/>
    </font>
    <font>
      <b/>
      <sz val="12"/>
      <name val="Arial"/>
      <family val="2"/>
    </font>
    <font>
      <sz val="12"/>
      <name val="Arial"/>
      <family val="2"/>
    </font>
    <font>
      <b/>
      <i/>
      <sz val="12"/>
      <name val="Arial"/>
      <family val="2"/>
    </font>
    <font>
      <sz val="10"/>
      <color theme="0" tint="-0.499984740745262"/>
      <name val="Arial"/>
      <family val="2"/>
    </font>
    <font>
      <b/>
      <sz val="18"/>
      <name val="Arial"/>
      <family val="2"/>
    </font>
    <font>
      <sz val="12"/>
      <color theme="1"/>
      <name val="Arial"/>
      <family val="2"/>
    </font>
    <font>
      <sz val="12"/>
      <color theme="5"/>
      <name val="Arial"/>
      <family val="2"/>
    </font>
    <font>
      <b/>
      <sz val="12"/>
      <color theme="1"/>
      <name val="Arial"/>
      <family val="2"/>
    </font>
    <font>
      <b/>
      <sz val="12"/>
      <color theme="5"/>
      <name val="Arial"/>
      <family val="2"/>
    </font>
    <font>
      <sz val="12"/>
      <color rgb="FF000000"/>
      <name val="Arial"/>
      <family val="2"/>
    </font>
    <font>
      <sz val="10"/>
      <color theme="1"/>
      <name val="Arial"/>
      <family val="2"/>
    </font>
    <font>
      <b/>
      <i/>
      <sz val="12"/>
      <color theme="1"/>
      <name val="Arial"/>
      <family val="2"/>
    </font>
    <font>
      <b/>
      <i/>
      <sz val="10"/>
      <name val="Arial"/>
      <family val="2"/>
    </font>
    <font>
      <sz val="10"/>
      <color rgb="FFFF0000"/>
      <name val="Arial"/>
      <family val="2"/>
    </font>
    <font>
      <i/>
      <sz val="10"/>
      <name val="Arial"/>
      <family val="2"/>
    </font>
    <font>
      <b/>
      <u/>
      <sz val="8"/>
      <name val="Arial"/>
      <family val="2"/>
    </font>
    <font>
      <i/>
      <sz val="8"/>
      <name val="Arial"/>
      <family val="2"/>
    </font>
    <font>
      <b/>
      <i/>
      <sz val="8"/>
      <name val="Arial"/>
      <family val="2"/>
    </font>
    <font>
      <b/>
      <sz val="11"/>
      <name val="Calibri"/>
      <family val="2"/>
      <scheme val="minor"/>
    </font>
  </fonts>
  <fills count="3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66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rgb="FFFF3300"/>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2" tint="-0.24994659260841701"/>
        <bgColor indexed="64"/>
      </patternFill>
    </fill>
    <fill>
      <patternFill patternType="solid">
        <fgColor theme="2" tint="-9.9948118533890809E-2"/>
        <bgColor indexed="64"/>
      </patternFill>
    </fill>
    <fill>
      <patternFill patternType="solid">
        <fgColor theme="9" tint="0.59996337778862885"/>
        <bgColor indexed="64"/>
      </patternFill>
    </fill>
    <fill>
      <patternFill patternType="solid">
        <fgColor rgb="FFFF9999"/>
        <bgColor indexed="64"/>
      </patternFill>
    </fill>
    <fill>
      <patternFill patternType="solid">
        <fgColor theme="4" tint="0.59996337778862885"/>
        <bgColor indexed="64"/>
      </patternFill>
    </fill>
    <fill>
      <patternFill patternType="solid">
        <fgColor theme="0" tint="-0.14996795556505021"/>
        <bgColor indexed="64"/>
      </patternFill>
    </fill>
    <fill>
      <patternFill patternType="solid">
        <fgColor rgb="FFFFCC99"/>
        <bgColor indexed="64"/>
      </patternFill>
    </fill>
    <fill>
      <patternFill patternType="solid">
        <fgColor rgb="FF33CC33"/>
        <bgColor indexed="64"/>
      </patternFill>
    </fill>
    <fill>
      <patternFill patternType="solid">
        <fgColor indexed="16"/>
        <bgColor indexed="64"/>
      </patternFill>
    </fill>
    <fill>
      <patternFill patternType="solid">
        <fgColor indexed="42"/>
        <bgColor indexed="64"/>
      </patternFill>
    </fill>
    <fill>
      <patternFill patternType="solid">
        <fgColor indexed="22"/>
        <bgColor indexed="64"/>
      </patternFill>
    </fill>
    <fill>
      <patternFill patternType="solid">
        <fgColor indexed="22"/>
        <bgColor indexed="44"/>
      </patternFill>
    </fill>
    <fill>
      <patternFill patternType="solid">
        <fgColor rgb="FFCD3BAE"/>
        <bgColor indexed="64"/>
      </patternFill>
    </fill>
    <fill>
      <patternFill patternType="solid">
        <fgColor rgb="FFE7A1D8"/>
        <bgColor indexed="64"/>
      </patternFill>
    </fill>
    <fill>
      <patternFill patternType="solid">
        <fgColor theme="0" tint="-0.249977111117893"/>
        <bgColor indexed="44"/>
      </patternFill>
    </fill>
    <fill>
      <patternFill patternType="solid">
        <fgColor indexed="43"/>
        <bgColor indexed="64"/>
      </patternFill>
    </fill>
    <fill>
      <patternFill patternType="solid">
        <fgColor rgb="FFFFFF99"/>
        <bgColor indexed="64"/>
      </patternFill>
    </fill>
  </fills>
  <borders count="35">
    <border>
      <left/>
      <right/>
      <top/>
      <bottom/>
      <diagonal/>
    </border>
    <border>
      <left/>
      <right/>
      <top/>
      <bottom style="thin">
        <color auto="1"/>
      </bottom>
      <diagonal/>
    </border>
    <border>
      <left/>
      <right/>
      <top style="double">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2">
    <xf numFmtId="0" fontId="0" fillId="0" borderId="0"/>
    <xf numFmtId="0" fontId="2" fillId="0" borderId="0"/>
    <xf numFmtId="0" fontId="3" fillId="0" borderId="1">
      <alignment horizontal="left"/>
    </xf>
    <xf numFmtId="49" fontId="2" fillId="0" borderId="2" applyFont="0" applyFill="0" applyBorder="0" applyAlignment="0" applyProtection="0">
      <alignment horizontal="right"/>
    </xf>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41" fillId="0" borderId="0" applyFont="0" applyFill="0" applyBorder="0" applyAlignment="0" applyProtection="0"/>
    <xf numFmtId="0" fontId="42" fillId="0" borderId="0"/>
    <xf numFmtId="170" fontId="42" fillId="0" borderId="0"/>
  </cellStyleXfs>
  <cellXfs count="577">
    <xf numFmtId="0" fontId="0" fillId="0" borderId="0" xfId="0"/>
    <xf numFmtId="0" fontId="0" fillId="0" borderId="0" xfId="0" applyFont="1"/>
    <xf numFmtId="0" fontId="1" fillId="8" borderId="7" xfId="0" applyFont="1" applyFill="1" applyBorder="1" applyAlignment="1">
      <alignment wrapText="1"/>
    </xf>
    <xf numFmtId="49" fontId="6" fillId="0" borderId="0" xfId="3" applyFont="1" applyBorder="1" applyAlignment="1"/>
    <xf numFmtId="49" fontId="7" fillId="4" borderId="10" xfId="3" applyFont="1" applyFill="1" applyBorder="1" applyAlignment="1"/>
    <xf numFmtId="0" fontId="0" fillId="0" borderId="0" xfId="0" applyFont="1" applyBorder="1"/>
    <xf numFmtId="49" fontId="6" fillId="3" borderId="7" xfId="3" applyFont="1" applyFill="1" applyBorder="1" applyAlignment="1"/>
    <xf numFmtId="49" fontId="6" fillId="6" borderId="7" xfId="3" applyFont="1" applyFill="1" applyBorder="1" applyAlignment="1"/>
    <xf numFmtId="49" fontId="7" fillId="6" borderId="7" xfId="3" applyFont="1" applyFill="1" applyBorder="1" applyAlignment="1"/>
    <xf numFmtId="49" fontId="7" fillId="3" borderId="7" xfId="3" applyFont="1" applyFill="1" applyBorder="1" applyAlignment="1"/>
    <xf numFmtId="49" fontId="7" fillId="8" borderId="7" xfId="3" applyFont="1" applyFill="1" applyBorder="1" applyAlignment="1"/>
    <xf numFmtId="0" fontId="0" fillId="7" borderId="0" xfId="0" applyFont="1" applyFill="1" applyBorder="1"/>
    <xf numFmtId="49" fontId="7" fillId="7" borderId="7" xfId="3" applyFont="1" applyFill="1" applyBorder="1" applyAlignment="1"/>
    <xf numFmtId="49" fontId="7" fillId="5" borderId="7" xfId="3" applyFont="1" applyFill="1" applyBorder="1" applyAlignment="1"/>
    <xf numFmtId="0" fontId="0" fillId="9" borderId="0" xfId="0" applyFont="1" applyFill="1" applyBorder="1"/>
    <xf numFmtId="49" fontId="7" fillId="2" borderId="0" xfId="3" applyFont="1" applyFill="1" applyBorder="1" applyAlignment="1"/>
    <xf numFmtId="0" fontId="8" fillId="0" borderId="0" xfId="0" applyFont="1"/>
    <xf numFmtId="0" fontId="11" fillId="0" borderId="17" xfId="0" applyFont="1" applyBorder="1" applyAlignment="1">
      <alignment wrapText="1"/>
    </xf>
    <xf numFmtId="6" fontId="11" fillId="0" borderId="17" xfId="0" applyNumberFormat="1" applyFont="1" applyBorder="1"/>
    <xf numFmtId="0" fontId="12" fillId="0" borderId="17" xfId="0" applyFont="1" applyBorder="1"/>
    <xf numFmtId="164" fontId="12" fillId="0" borderId="17" xfId="0" applyNumberFormat="1" applyFont="1" applyBorder="1"/>
    <xf numFmtId="0" fontId="11" fillId="0" borderId="17" xfId="0" applyFont="1" applyBorder="1"/>
    <xf numFmtId="164" fontId="11" fillId="0" borderId="17" xfId="0" applyNumberFormat="1" applyFont="1" applyBorder="1"/>
    <xf numFmtId="0" fontId="11" fillId="0" borderId="17" xfId="0" applyNumberFormat="1" applyFont="1" applyBorder="1"/>
    <xf numFmtId="44" fontId="11" fillId="0" borderId="17" xfId="0" applyNumberFormat="1" applyFont="1" applyBorder="1"/>
    <xf numFmtId="44" fontId="12" fillId="0" borderId="17" xfId="0" applyNumberFormat="1" applyFont="1" applyBorder="1"/>
    <xf numFmtId="0" fontId="9" fillId="0" borderId="0" xfId="0" applyFont="1" applyBorder="1"/>
    <xf numFmtId="44" fontId="9" fillId="0" borderId="0" xfId="0" applyNumberFormat="1" applyFont="1" applyBorder="1"/>
    <xf numFmtId="44" fontId="10" fillId="0" borderId="0" xfId="0" applyNumberFormat="1" applyFont="1" applyBorder="1"/>
    <xf numFmtId="0" fontId="9" fillId="0" borderId="0" xfId="0" applyFont="1" applyFill="1" applyBorder="1"/>
    <xf numFmtId="0" fontId="10" fillId="0" borderId="0" xfId="0" applyFont="1" applyFill="1" applyBorder="1" applyAlignment="1">
      <alignment wrapText="1"/>
    </xf>
    <xf numFmtId="49" fontId="13" fillId="0" borderId="0" xfId="3" applyFont="1" applyBorder="1" applyAlignment="1"/>
    <xf numFmtId="44" fontId="13" fillId="0" borderId="0" xfId="4" applyFont="1" applyBorder="1"/>
    <xf numFmtId="49" fontId="14" fillId="4" borderId="10" xfId="3" applyFont="1" applyFill="1" applyBorder="1" applyAlignment="1"/>
    <xf numFmtId="44" fontId="14" fillId="4" borderId="10" xfId="4" applyFont="1" applyFill="1" applyBorder="1"/>
    <xf numFmtId="44" fontId="14" fillId="4" borderId="4" xfId="4" applyFont="1" applyFill="1" applyBorder="1"/>
    <xf numFmtId="0" fontId="10" fillId="0" borderId="0" xfId="0" applyFont="1" applyFill="1" applyBorder="1"/>
    <xf numFmtId="49" fontId="14" fillId="2" borderId="0" xfId="3" applyFont="1" applyFill="1" applyBorder="1" applyAlignment="1"/>
    <xf numFmtId="44" fontId="14" fillId="2" borderId="0" xfId="4" applyFont="1" applyFill="1" applyBorder="1"/>
    <xf numFmtId="44" fontId="14" fillId="2" borderId="5" xfId="4" applyFont="1" applyFill="1" applyBorder="1"/>
    <xf numFmtId="44" fontId="14" fillId="0" borderId="5" xfId="4" applyFont="1" applyBorder="1"/>
    <xf numFmtId="49" fontId="13" fillId="3" borderId="7" xfId="3" applyFont="1" applyFill="1" applyBorder="1" applyAlignment="1"/>
    <xf numFmtId="44" fontId="13" fillId="3" borderId="7" xfId="4" applyFont="1" applyFill="1" applyBorder="1"/>
    <xf numFmtId="44" fontId="14" fillId="3" borderId="3" xfId="4" applyFont="1" applyFill="1" applyBorder="1"/>
    <xf numFmtId="49" fontId="14" fillId="3" borderId="7" xfId="3" applyFont="1" applyFill="1" applyBorder="1" applyAlignment="1"/>
    <xf numFmtId="49" fontId="13" fillId="6" borderId="7" xfId="3" applyFont="1" applyFill="1" applyBorder="1" applyAlignment="1"/>
    <xf numFmtId="44" fontId="13" fillId="6" borderId="7" xfId="4" applyFont="1" applyFill="1" applyBorder="1"/>
    <xf numFmtId="44" fontId="14" fillId="6" borderId="3" xfId="4" applyFont="1" applyFill="1" applyBorder="1"/>
    <xf numFmtId="49" fontId="14" fillId="6" borderId="7" xfId="3" applyFont="1" applyFill="1" applyBorder="1" applyAlignment="1"/>
    <xf numFmtId="44" fontId="14" fillId="6" borderId="7" xfId="4" applyFont="1" applyFill="1" applyBorder="1"/>
    <xf numFmtId="44" fontId="14" fillId="3" borderId="7" xfId="4" applyFont="1" applyFill="1" applyBorder="1"/>
    <xf numFmtId="49" fontId="14" fillId="8" borderId="7" xfId="3" applyFont="1" applyFill="1" applyBorder="1" applyAlignment="1"/>
    <xf numFmtId="44" fontId="14" fillId="8" borderId="7" xfId="4" applyFont="1" applyFill="1" applyBorder="1"/>
    <xf numFmtId="44" fontId="14" fillId="8" borderId="3" xfId="4" applyFont="1" applyFill="1" applyBorder="1"/>
    <xf numFmtId="0" fontId="9" fillId="7" borderId="0" xfId="0" applyFont="1" applyFill="1" applyBorder="1"/>
    <xf numFmtId="0" fontId="10" fillId="7" borderId="5" xfId="0" applyFont="1" applyFill="1" applyBorder="1"/>
    <xf numFmtId="0" fontId="10" fillId="0" borderId="5" xfId="0" applyFont="1" applyBorder="1"/>
    <xf numFmtId="49" fontId="14" fillId="7" borderId="7" xfId="3" applyFont="1" applyFill="1" applyBorder="1" applyAlignment="1"/>
    <xf numFmtId="44" fontId="14" fillId="7" borderId="7" xfId="4" applyFont="1" applyFill="1" applyBorder="1"/>
    <xf numFmtId="44" fontId="14" fillId="7" borderId="3" xfId="4" applyFont="1" applyFill="1" applyBorder="1"/>
    <xf numFmtId="49" fontId="14" fillId="5" borderId="7" xfId="3" applyFont="1" applyFill="1" applyBorder="1" applyAlignment="1"/>
    <xf numFmtId="44" fontId="14" fillId="5" borderId="7" xfId="4" applyFont="1" applyFill="1" applyBorder="1"/>
    <xf numFmtId="44" fontId="14" fillId="5" borderId="3" xfId="4" applyFont="1" applyFill="1" applyBorder="1"/>
    <xf numFmtId="0" fontId="9" fillId="9" borderId="0" xfId="0" applyFont="1" applyFill="1" applyBorder="1"/>
    <xf numFmtId="0" fontId="10" fillId="9" borderId="5" xfId="0" applyFont="1" applyFill="1" applyBorder="1"/>
    <xf numFmtId="0" fontId="1" fillId="8" borderId="6" xfId="0" applyFont="1" applyFill="1" applyBorder="1" applyAlignment="1">
      <alignment wrapText="1"/>
    </xf>
    <xf numFmtId="49" fontId="6" fillId="0" borderId="15" xfId="3" applyNumberFormat="1" applyFont="1" applyBorder="1" applyAlignment="1"/>
    <xf numFmtId="49" fontId="7" fillId="4" borderId="9" xfId="3" applyNumberFormat="1" applyFont="1" applyFill="1" applyBorder="1" applyAlignment="1"/>
    <xf numFmtId="49" fontId="7" fillId="2" borderId="15" xfId="3" applyNumberFormat="1" applyFont="1" applyFill="1" applyBorder="1" applyAlignment="1"/>
    <xf numFmtId="0" fontId="0" fillId="0" borderId="15" xfId="0" applyFont="1" applyBorder="1"/>
    <xf numFmtId="49" fontId="6" fillId="0" borderId="15" xfId="3" applyFont="1" applyBorder="1" applyAlignment="1"/>
    <xf numFmtId="49" fontId="6" fillId="3" borderId="6" xfId="3" applyFont="1" applyFill="1" applyBorder="1" applyAlignment="1"/>
    <xf numFmtId="0" fontId="7" fillId="3" borderId="7" xfId="3" applyNumberFormat="1" applyFont="1" applyFill="1" applyBorder="1" applyAlignment="1"/>
    <xf numFmtId="49" fontId="6" fillId="6" borderId="6" xfId="3" applyFont="1" applyFill="1" applyBorder="1" applyAlignment="1"/>
    <xf numFmtId="0" fontId="7" fillId="6" borderId="7" xfId="3" applyNumberFormat="1" applyFont="1" applyFill="1" applyBorder="1" applyAlignment="1"/>
    <xf numFmtId="49" fontId="7" fillId="6" borderId="6" xfId="3" applyFont="1" applyFill="1" applyBorder="1" applyAlignment="1"/>
    <xf numFmtId="49" fontId="7" fillId="3" borderId="6" xfId="3" applyFont="1" applyFill="1" applyBorder="1" applyAlignment="1"/>
    <xf numFmtId="0" fontId="7" fillId="8" borderId="6" xfId="3" applyNumberFormat="1" applyFont="1" applyFill="1" applyBorder="1" applyAlignment="1"/>
    <xf numFmtId="0" fontId="1" fillId="7" borderId="15" xfId="0" applyFont="1" applyFill="1" applyBorder="1"/>
    <xf numFmtId="49" fontId="7" fillId="7" borderId="6" xfId="3" applyFont="1" applyFill="1" applyBorder="1" applyAlignment="1"/>
    <xf numFmtId="49" fontId="7" fillId="5" borderId="6" xfId="3" applyNumberFormat="1" applyFont="1" applyFill="1" applyBorder="1" applyAlignment="1"/>
    <xf numFmtId="0" fontId="1" fillId="9" borderId="15" xfId="0" applyFont="1" applyFill="1" applyBorder="1"/>
    <xf numFmtId="0" fontId="9" fillId="2" borderId="0" xfId="0" applyFont="1" applyFill="1" applyBorder="1"/>
    <xf numFmtId="0" fontId="0" fillId="10" borderId="0" xfId="0" applyFont="1" applyFill="1" applyBorder="1"/>
    <xf numFmtId="0" fontId="9" fillId="10" borderId="0" xfId="0" applyFont="1" applyFill="1" applyBorder="1"/>
    <xf numFmtId="0" fontId="10" fillId="10" borderId="5" xfId="0" applyFont="1" applyFill="1" applyBorder="1"/>
    <xf numFmtId="0" fontId="15" fillId="12" borderId="0" xfId="0" applyFont="1" applyFill="1" applyBorder="1"/>
    <xf numFmtId="0" fontId="20" fillId="12" borderId="0" xfId="0" applyFont="1" applyFill="1" applyBorder="1"/>
    <xf numFmtId="0" fontId="21" fillId="12" borderId="5" xfId="0" applyFont="1" applyFill="1" applyBorder="1"/>
    <xf numFmtId="0" fontId="10" fillId="12" borderId="5" xfId="0" applyFont="1" applyFill="1" applyBorder="1"/>
    <xf numFmtId="0" fontId="1" fillId="12" borderId="0" xfId="0" applyFont="1" applyFill="1" applyBorder="1"/>
    <xf numFmtId="0" fontId="10" fillId="12" borderId="0" xfId="0" applyFont="1" applyFill="1" applyBorder="1"/>
    <xf numFmtId="49" fontId="7" fillId="12" borderId="6" xfId="3" applyFont="1" applyFill="1" applyBorder="1" applyAlignment="1"/>
    <xf numFmtId="49" fontId="7" fillId="12" borderId="7" xfId="3" applyFont="1" applyFill="1" applyBorder="1" applyAlignment="1"/>
    <xf numFmtId="49" fontId="14" fillId="12" borderId="7" xfId="3" applyFont="1" applyFill="1" applyBorder="1" applyAlignment="1"/>
    <xf numFmtId="44" fontId="14" fillId="12" borderId="7" xfId="4" applyFont="1" applyFill="1" applyBorder="1"/>
    <xf numFmtId="0" fontId="0" fillId="13" borderId="0" xfId="0" applyFont="1" applyFill="1" applyBorder="1"/>
    <xf numFmtId="0" fontId="9" fillId="13" borderId="0" xfId="0" applyFont="1" applyFill="1" applyBorder="1"/>
    <xf numFmtId="0" fontId="10" fillId="13" borderId="5" xfId="0" applyFont="1" applyFill="1" applyBorder="1"/>
    <xf numFmtId="0" fontId="1" fillId="13" borderId="15" xfId="0" applyFont="1" applyFill="1" applyBorder="1"/>
    <xf numFmtId="49" fontId="7" fillId="13" borderId="6" xfId="3" applyFont="1" applyFill="1" applyBorder="1" applyAlignment="1"/>
    <xf numFmtId="49" fontId="7" fillId="13" borderId="7" xfId="3" applyFont="1" applyFill="1" applyBorder="1" applyAlignment="1"/>
    <xf numFmtId="49" fontId="14" fillId="13" borderId="7" xfId="3" applyFont="1" applyFill="1" applyBorder="1" applyAlignment="1"/>
    <xf numFmtId="44" fontId="14" fillId="13" borderId="7" xfId="4" applyFont="1" applyFill="1" applyBorder="1"/>
    <xf numFmtId="44" fontId="14" fillId="13" borderId="3" xfId="4" applyFont="1" applyFill="1" applyBorder="1"/>
    <xf numFmtId="0" fontId="16" fillId="14" borderId="7" xfId="0" applyFont="1" applyFill="1" applyBorder="1"/>
    <xf numFmtId="0" fontId="22" fillId="2" borderId="15" xfId="0" applyFont="1" applyFill="1" applyBorder="1"/>
    <xf numFmtId="0" fontId="17" fillId="2" borderId="0" xfId="0" applyFont="1" applyFill="1" applyBorder="1"/>
    <xf numFmtId="0" fontId="18" fillId="2" borderId="0" xfId="0" applyFont="1" applyFill="1" applyBorder="1"/>
    <xf numFmtId="44" fontId="18" fillId="2" borderId="0" xfId="0" applyNumberFormat="1" applyFont="1" applyFill="1" applyBorder="1"/>
    <xf numFmtId="44" fontId="19" fillId="2" borderId="5" xfId="0" applyNumberFormat="1" applyFont="1" applyFill="1" applyBorder="1"/>
    <xf numFmtId="49" fontId="7" fillId="7" borderId="6" xfId="3" applyNumberFormat="1" applyFont="1" applyFill="1" applyBorder="1" applyAlignment="1"/>
    <xf numFmtId="0" fontId="23" fillId="7" borderId="15" xfId="0" applyFont="1" applyFill="1" applyBorder="1"/>
    <xf numFmtId="49" fontId="25" fillId="5" borderId="6" xfId="3" applyFont="1" applyFill="1" applyBorder="1" applyAlignment="1"/>
    <xf numFmtId="0" fontId="23" fillId="10" borderId="15" xfId="0" applyFont="1" applyFill="1" applyBorder="1"/>
    <xf numFmtId="0" fontId="26" fillId="12" borderId="15" xfId="0" applyFont="1" applyFill="1" applyBorder="1"/>
    <xf numFmtId="0" fontId="23" fillId="12" borderId="15" xfId="0" applyFont="1" applyFill="1" applyBorder="1"/>
    <xf numFmtId="0" fontId="24" fillId="14" borderId="6" xfId="0" applyFont="1" applyFill="1" applyBorder="1"/>
    <xf numFmtId="49" fontId="7" fillId="16" borderId="6" xfId="3" applyFont="1" applyFill="1" applyBorder="1" applyAlignment="1"/>
    <xf numFmtId="49" fontId="7" fillId="16" borderId="7" xfId="3" applyFont="1" applyFill="1" applyBorder="1" applyAlignment="1"/>
    <xf numFmtId="49" fontId="14" fillId="16" borderId="7" xfId="3" applyFont="1" applyFill="1" applyBorder="1" applyAlignment="1"/>
    <xf numFmtId="44" fontId="14" fillId="16" borderId="3" xfId="4" applyFont="1" applyFill="1" applyBorder="1"/>
    <xf numFmtId="0" fontId="27" fillId="0" borderId="0" xfId="0" applyFont="1"/>
    <xf numFmtId="0" fontId="27" fillId="0" borderId="17" xfId="0" applyFont="1" applyBorder="1"/>
    <xf numFmtId="44" fontId="28" fillId="0" borderId="17" xfId="0" applyNumberFormat="1" applyFont="1" applyBorder="1"/>
    <xf numFmtId="0" fontId="28" fillId="0" borderId="17" xfId="0" applyFont="1" applyBorder="1" applyAlignment="1">
      <alignment wrapText="1"/>
    </xf>
    <xf numFmtId="0" fontId="27" fillId="0" borderId="0" xfId="0" applyFont="1" applyBorder="1"/>
    <xf numFmtId="0" fontId="27" fillId="0" borderId="20" xfId="0" applyFont="1" applyBorder="1" applyAlignment="1">
      <alignment wrapText="1"/>
    </xf>
    <xf numFmtId="6" fontId="27" fillId="0" borderId="17" xfId="0" applyNumberFormat="1" applyFont="1" applyBorder="1"/>
    <xf numFmtId="4" fontId="27" fillId="0" borderId="17" xfId="0" applyNumberFormat="1" applyFont="1" applyBorder="1"/>
    <xf numFmtId="8" fontId="27" fillId="0" borderId="17" xfId="0" applyNumberFormat="1" applyFont="1" applyBorder="1"/>
    <xf numFmtId="0" fontId="27" fillId="0" borderId="21" xfId="0" applyFont="1" applyBorder="1" applyAlignment="1">
      <alignment wrapText="1"/>
    </xf>
    <xf numFmtId="6" fontId="27" fillId="0" borderId="18" xfId="0" applyNumberFormat="1" applyFont="1" applyBorder="1"/>
    <xf numFmtId="0" fontId="27" fillId="0" borderId="22" xfId="0" applyFont="1" applyBorder="1" applyAlignment="1">
      <alignment wrapText="1"/>
    </xf>
    <xf numFmtId="6" fontId="27" fillId="0" borderId="19" xfId="0" applyNumberFormat="1" applyFont="1" applyBorder="1"/>
    <xf numFmtId="0" fontId="27" fillId="0" borderId="15" xfId="0" applyFont="1" applyBorder="1"/>
    <xf numFmtId="165" fontId="28" fillId="0" borderId="0" xfId="0" applyNumberFormat="1" applyFont="1" applyBorder="1" applyAlignment="1">
      <alignment horizontal="center" wrapText="1"/>
    </xf>
    <xf numFmtId="0" fontId="28" fillId="0" borderId="0" xfId="0" applyFont="1" applyBorder="1"/>
    <xf numFmtId="0" fontId="28" fillId="0" borderId="20" xfId="0" applyFont="1" applyBorder="1" applyAlignment="1">
      <alignment wrapText="1"/>
    </xf>
    <xf numFmtId="6" fontId="27" fillId="0" borderId="20" xfId="0" applyNumberFormat="1" applyFont="1" applyBorder="1"/>
    <xf numFmtId="0" fontId="27" fillId="0" borderId="20" xfId="0" applyFont="1" applyBorder="1"/>
    <xf numFmtId="44" fontId="29" fillId="0" borderId="5" xfId="0" applyNumberFormat="1" applyFont="1" applyBorder="1"/>
    <xf numFmtId="49" fontId="6" fillId="0" borderId="15" xfId="3" applyFont="1" applyFill="1" applyBorder="1" applyAlignment="1"/>
    <xf numFmtId="49" fontId="6" fillId="0" borderId="0" xfId="3" applyFont="1" applyFill="1" applyBorder="1" applyAlignment="1"/>
    <xf numFmtId="49" fontId="7" fillId="0" borderId="0" xfId="3" applyFont="1" applyFill="1" applyBorder="1" applyAlignment="1"/>
    <xf numFmtId="49" fontId="13" fillId="0" borderId="0" xfId="3" applyFont="1" applyFill="1" applyBorder="1" applyAlignment="1"/>
    <xf numFmtId="44" fontId="13" fillId="0" borderId="0" xfId="4" applyFont="1" applyFill="1" applyBorder="1"/>
    <xf numFmtId="44" fontId="14" fillId="0" borderId="5" xfId="4" applyFont="1" applyFill="1" applyBorder="1"/>
    <xf numFmtId="0" fontId="29" fillId="7" borderId="5" xfId="0" applyFont="1" applyFill="1" applyBorder="1"/>
    <xf numFmtId="0" fontId="29" fillId="9" borderId="5" xfId="0" applyFont="1" applyFill="1" applyBorder="1"/>
    <xf numFmtId="0" fontId="29" fillId="13" borderId="5" xfId="0" applyFont="1" applyFill="1" applyBorder="1"/>
    <xf numFmtId="49" fontId="6" fillId="2" borderId="15" xfId="3" applyFont="1" applyFill="1" applyBorder="1" applyAlignment="1"/>
    <xf numFmtId="44" fontId="30" fillId="20" borderId="3" xfId="0" applyNumberFormat="1" applyFont="1" applyFill="1" applyBorder="1"/>
    <xf numFmtId="44" fontId="30" fillId="3" borderId="3" xfId="0" applyNumberFormat="1" applyFont="1" applyFill="1" applyBorder="1"/>
    <xf numFmtId="44" fontId="32" fillId="14" borderId="3" xfId="0" applyNumberFormat="1" applyFont="1" applyFill="1" applyBorder="1"/>
    <xf numFmtId="49" fontId="6" fillId="15" borderId="6" xfId="3" applyFont="1" applyFill="1" applyBorder="1" applyAlignment="1"/>
    <xf numFmtId="49" fontId="7" fillId="15" borderId="7" xfId="3" applyFont="1" applyFill="1" applyBorder="1" applyAlignment="1"/>
    <xf numFmtId="49" fontId="6" fillId="15" borderId="7" xfId="3" applyFont="1" applyFill="1" applyBorder="1" applyAlignment="1"/>
    <xf numFmtId="49" fontId="13" fillId="15" borderId="7" xfId="3" applyFont="1" applyFill="1" applyBorder="1" applyAlignment="1"/>
    <xf numFmtId="44" fontId="14" fillId="15" borderId="3" xfId="4" applyFont="1" applyFill="1" applyBorder="1"/>
    <xf numFmtId="49" fontId="6" fillId="6" borderId="15" xfId="3" applyFont="1" applyFill="1" applyBorder="1" applyAlignment="1"/>
    <xf numFmtId="49" fontId="7" fillId="6" borderId="0" xfId="3" applyFont="1" applyFill="1" applyBorder="1" applyAlignment="1"/>
    <xf numFmtId="49" fontId="6" fillId="6" borderId="0" xfId="3" applyFont="1" applyFill="1" applyBorder="1" applyAlignment="1"/>
    <xf numFmtId="49" fontId="13" fillId="6" borderId="0" xfId="3" applyFont="1" applyFill="1" applyBorder="1" applyAlignment="1"/>
    <xf numFmtId="44" fontId="13" fillId="6" borderId="0" xfId="4" applyFont="1" applyFill="1" applyBorder="1"/>
    <xf numFmtId="44" fontId="14" fillId="6" borderId="5" xfId="4" applyFont="1" applyFill="1" applyBorder="1"/>
    <xf numFmtId="49" fontId="6" fillId="17" borderId="6" xfId="3" applyFont="1" applyFill="1" applyBorder="1" applyAlignment="1"/>
    <xf numFmtId="49" fontId="6" fillId="17" borderId="7" xfId="3" applyFont="1" applyFill="1" applyBorder="1" applyAlignment="1"/>
    <xf numFmtId="49" fontId="7" fillId="17" borderId="7" xfId="3" applyFont="1" applyFill="1" applyBorder="1" applyAlignment="1"/>
    <xf numFmtId="49" fontId="13" fillId="17" borderId="7" xfId="3" applyFont="1" applyFill="1" applyBorder="1" applyAlignment="1"/>
    <xf numFmtId="44" fontId="13" fillId="17" borderId="7" xfId="4" applyFont="1" applyFill="1" applyBorder="1"/>
    <xf numFmtId="44" fontId="14" fillId="17" borderId="3" xfId="4" applyFont="1" applyFill="1" applyBorder="1"/>
    <xf numFmtId="49" fontId="7" fillId="10" borderId="6" xfId="3" applyNumberFormat="1" applyFont="1" applyFill="1" applyBorder="1" applyAlignment="1"/>
    <xf numFmtId="49" fontId="7" fillId="10" borderId="7" xfId="3" applyFont="1" applyFill="1" applyBorder="1" applyAlignment="1"/>
    <xf numFmtId="49" fontId="14" fillId="10" borderId="7" xfId="3" applyFont="1" applyFill="1" applyBorder="1" applyAlignment="1"/>
    <xf numFmtId="44" fontId="14" fillId="10" borderId="7" xfId="4" applyFont="1" applyFill="1" applyBorder="1"/>
    <xf numFmtId="44" fontId="14" fillId="10" borderId="3" xfId="4" applyFont="1" applyFill="1" applyBorder="1"/>
    <xf numFmtId="0" fontId="23" fillId="5" borderId="9" xfId="0" applyFont="1" applyFill="1" applyBorder="1"/>
    <xf numFmtId="0" fontId="0" fillId="5" borderId="10" xfId="0" applyFont="1" applyFill="1" applyBorder="1"/>
    <xf numFmtId="0" fontId="9" fillId="5" borderId="10" xfId="0" applyFont="1" applyFill="1" applyBorder="1"/>
    <xf numFmtId="0" fontId="10" fillId="5" borderId="4" xfId="0" applyFont="1" applyFill="1" applyBorder="1"/>
    <xf numFmtId="0" fontId="29" fillId="5" borderId="4" xfId="0" applyFont="1" applyFill="1" applyBorder="1"/>
    <xf numFmtId="0" fontId="23" fillId="10" borderId="9" xfId="0" applyFont="1" applyFill="1" applyBorder="1"/>
    <xf numFmtId="0" fontId="1" fillId="10" borderId="10" xfId="0" applyFont="1" applyFill="1" applyBorder="1"/>
    <xf numFmtId="0" fontId="10" fillId="10" borderId="10" xfId="0" applyFont="1" applyFill="1" applyBorder="1"/>
    <xf numFmtId="0" fontId="10" fillId="10" borderId="4" xfId="0" applyFont="1" applyFill="1" applyBorder="1"/>
    <xf numFmtId="49" fontId="7" fillId="0" borderId="15" xfId="3" applyNumberFormat="1" applyFont="1" applyFill="1" applyBorder="1" applyAlignment="1"/>
    <xf numFmtId="49" fontId="14" fillId="0" borderId="0" xfId="3" applyFont="1" applyFill="1" applyBorder="1" applyAlignment="1"/>
    <xf numFmtId="44" fontId="14" fillId="0" borderId="0" xfId="4" applyFont="1" applyFill="1" applyBorder="1"/>
    <xf numFmtId="49" fontId="6" fillId="19" borderId="6" xfId="3" applyFont="1" applyFill="1" applyBorder="1" applyAlignment="1"/>
    <xf numFmtId="49" fontId="6" fillId="19" borderId="7" xfId="3" applyFont="1" applyFill="1" applyBorder="1" applyAlignment="1"/>
    <xf numFmtId="49" fontId="7" fillId="19" borderId="7" xfId="3" applyFont="1" applyFill="1" applyBorder="1" applyAlignment="1"/>
    <xf numFmtId="49" fontId="13" fillId="19" borderId="7" xfId="3" applyFont="1" applyFill="1" applyBorder="1" applyAlignment="1"/>
    <xf numFmtId="44" fontId="13" fillId="19" borderId="7" xfId="4" applyFont="1" applyFill="1" applyBorder="1"/>
    <xf numFmtId="44" fontId="14" fillId="19" borderId="3" xfId="4" applyFont="1" applyFill="1" applyBorder="1"/>
    <xf numFmtId="49" fontId="7" fillId="11" borderId="6" xfId="3" applyFont="1" applyFill="1" applyBorder="1" applyAlignment="1"/>
    <xf numFmtId="49" fontId="6" fillId="11" borderId="7" xfId="3" applyFont="1" applyFill="1" applyBorder="1" applyAlignment="1"/>
    <xf numFmtId="49" fontId="13" fillId="11" borderId="7" xfId="3" applyFont="1" applyFill="1" applyBorder="1" applyAlignment="1"/>
    <xf numFmtId="44" fontId="13" fillId="11" borderId="7" xfId="4" applyFont="1" applyFill="1" applyBorder="1"/>
    <xf numFmtId="44" fontId="14" fillId="11" borderId="3" xfId="4" applyFont="1" applyFill="1" applyBorder="1"/>
    <xf numFmtId="0" fontId="22" fillId="12" borderId="6" xfId="0" applyFont="1" applyFill="1" applyBorder="1"/>
    <xf numFmtId="0" fontId="17" fillId="12" borderId="7" xfId="0" applyFont="1" applyFill="1" applyBorder="1"/>
    <xf numFmtId="0" fontId="18" fillId="12" borderId="7" xfId="0" applyFont="1" applyFill="1" applyBorder="1"/>
    <xf numFmtId="44" fontId="13" fillId="12" borderId="7" xfId="0" applyNumberFormat="1" applyFont="1" applyFill="1" applyBorder="1"/>
    <xf numFmtId="49" fontId="6" fillId="21" borderId="6" xfId="3" applyFont="1" applyFill="1" applyBorder="1" applyAlignment="1"/>
    <xf numFmtId="49" fontId="6" fillId="21" borderId="7" xfId="3" applyFont="1" applyFill="1" applyBorder="1" applyAlignment="1"/>
    <xf numFmtId="49" fontId="7" fillId="21" borderId="7" xfId="3" applyFont="1" applyFill="1" applyBorder="1" applyAlignment="1"/>
    <xf numFmtId="49" fontId="13" fillId="21" borderId="7" xfId="3" applyFont="1" applyFill="1" applyBorder="1" applyAlignment="1"/>
    <xf numFmtId="44" fontId="13" fillId="21" borderId="7" xfId="4" applyFont="1" applyFill="1" applyBorder="1"/>
    <xf numFmtId="44" fontId="14" fillId="21" borderId="3" xfId="4" applyFont="1" applyFill="1" applyBorder="1"/>
    <xf numFmtId="44" fontId="14" fillId="21" borderId="7" xfId="4" applyFont="1" applyFill="1" applyBorder="1"/>
    <xf numFmtId="49" fontId="6" fillId="18" borderId="6" xfId="3" applyFont="1" applyFill="1" applyBorder="1" applyAlignment="1"/>
    <xf numFmtId="49" fontId="7" fillId="18" borderId="7" xfId="3" applyFont="1" applyFill="1" applyBorder="1" applyAlignment="1"/>
    <xf numFmtId="49" fontId="6" fillId="18" borderId="7" xfId="3" applyFont="1" applyFill="1" applyBorder="1" applyAlignment="1"/>
    <xf numFmtId="49" fontId="13" fillId="18" borderId="7" xfId="3" applyFont="1" applyFill="1" applyBorder="1" applyAlignment="1"/>
    <xf numFmtId="44" fontId="13" fillId="18" borderId="7" xfId="4" applyFont="1" applyFill="1" applyBorder="1"/>
    <xf numFmtId="49" fontId="7" fillId="13" borderId="6" xfId="3" applyNumberFormat="1" applyFont="1" applyFill="1" applyBorder="1" applyAlignment="1"/>
    <xf numFmtId="49" fontId="6" fillId="22" borderId="6" xfId="3" applyFont="1" applyFill="1" applyBorder="1" applyAlignment="1"/>
    <xf numFmtId="49" fontId="7" fillId="22" borderId="7" xfId="3" applyFont="1" applyFill="1" applyBorder="1" applyAlignment="1"/>
    <xf numFmtId="49" fontId="6" fillId="22" borderId="7" xfId="3" applyFont="1" applyFill="1" applyBorder="1" applyAlignment="1"/>
    <xf numFmtId="49" fontId="13" fillId="22" borderId="7" xfId="3" applyFont="1" applyFill="1" applyBorder="1" applyAlignment="1"/>
    <xf numFmtId="44" fontId="13" fillId="22" borderId="7" xfId="4" applyFont="1" applyFill="1" applyBorder="1"/>
    <xf numFmtId="44" fontId="14" fillId="22" borderId="3" xfId="4" applyFont="1" applyFill="1" applyBorder="1"/>
    <xf numFmtId="0" fontId="33" fillId="8" borderId="6" xfId="0" applyFont="1" applyFill="1" applyBorder="1" applyAlignment="1">
      <alignment wrapText="1"/>
    </xf>
    <xf numFmtId="0" fontId="33" fillId="8" borderId="7" xfId="0" applyFont="1" applyFill="1" applyBorder="1" applyAlignment="1">
      <alignment wrapText="1"/>
    </xf>
    <xf numFmtId="0" fontId="29" fillId="8" borderId="7" xfId="0" applyFont="1" applyFill="1" applyBorder="1" applyAlignment="1">
      <alignment horizontal="center" wrapText="1"/>
    </xf>
    <xf numFmtId="44" fontId="29" fillId="8" borderId="7" xfId="0" applyNumberFormat="1" applyFont="1" applyFill="1" applyBorder="1" applyAlignment="1">
      <alignment horizontal="center" wrapText="1"/>
    </xf>
    <xf numFmtId="0" fontId="29" fillId="8" borderId="3" xfId="0" applyFont="1" applyFill="1" applyBorder="1" applyAlignment="1">
      <alignment horizontal="center" wrapText="1"/>
    </xf>
    <xf numFmtId="44" fontId="14" fillId="18" borderId="7" xfId="4" applyFont="1" applyFill="1" applyBorder="1"/>
    <xf numFmtId="44" fontId="14" fillId="18" borderId="8" xfId="4" applyFont="1" applyFill="1" applyBorder="1"/>
    <xf numFmtId="0" fontId="17" fillId="12" borderId="6" xfId="0" applyFont="1" applyFill="1" applyBorder="1"/>
    <xf numFmtId="44" fontId="14" fillId="12" borderId="8" xfId="0" applyNumberFormat="1" applyFont="1" applyFill="1" applyBorder="1"/>
    <xf numFmtId="0" fontId="0" fillId="0" borderId="10" xfId="0" applyFont="1" applyBorder="1"/>
    <xf numFmtId="0" fontId="9" fillId="0" borderId="10" xfId="0" applyFont="1" applyBorder="1"/>
    <xf numFmtId="44" fontId="9" fillId="0" borderId="10" xfId="0" applyNumberFormat="1" applyFont="1" applyBorder="1"/>
    <xf numFmtId="0" fontId="9" fillId="0" borderId="10" xfId="0" applyFont="1" applyFill="1" applyBorder="1"/>
    <xf numFmtId="44" fontId="10" fillId="0" borderId="10" xfId="0" applyNumberFormat="1" applyFont="1" applyBorder="1"/>
    <xf numFmtId="44" fontId="14" fillId="3" borderId="8" xfId="4" applyFont="1" applyFill="1" applyBorder="1"/>
    <xf numFmtId="164" fontId="28" fillId="0" borderId="0" xfId="0" applyNumberFormat="1" applyFont="1" applyBorder="1"/>
    <xf numFmtId="44" fontId="28" fillId="0" borderId="0" xfId="0" applyNumberFormat="1" applyFont="1" applyBorder="1"/>
    <xf numFmtId="0" fontId="27" fillId="0" borderId="0" xfId="0" applyFont="1" applyBorder="1" applyAlignment="1">
      <alignment horizontal="left" vertical="center" wrapText="1"/>
    </xf>
    <xf numFmtId="0" fontId="27" fillId="0" borderId="0" xfId="0" applyFont="1" applyBorder="1" applyAlignment="1">
      <alignment horizontal="center" vertical="center" wrapText="1"/>
    </xf>
    <xf numFmtId="8" fontId="28" fillId="0" borderId="17" xfId="0" applyNumberFormat="1" applyFont="1" applyBorder="1"/>
    <xf numFmtId="0" fontId="28" fillId="0" borderId="17" xfId="0" applyFont="1" applyBorder="1"/>
    <xf numFmtId="0" fontId="27" fillId="0" borderId="23" xfId="0" applyFont="1" applyBorder="1" applyAlignment="1">
      <alignment wrapText="1"/>
    </xf>
    <xf numFmtId="6" fontId="27" fillId="0" borderId="23" xfId="0" applyNumberFormat="1" applyFont="1" applyBorder="1"/>
    <xf numFmtId="164" fontId="28" fillId="0" borderId="23" xfId="0" applyNumberFormat="1" applyFont="1" applyBorder="1"/>
    <xf numFmtId="0" fontId="28" fillId="0" borderId="10" xfId="0" applyFont="1" applyBorder="1"/>
    <xf numFmtId="0" fontId="28" fillId="0" borderId="10" xfId="0" applyFont="1" applyBorder="1" applyAlignment="1">
      <alignment horizontal="center"/>
    </xf>
    <xf numFmtId="7" fontId="12" fillId="0" borderId="17" xfId="0" applyNumberFormat="1" applyFont="1" applyBorder="1"/>
    <xf numFmtId="164" fontId="28" fillId="0" borderId="17" xfId="0" applyNumberFormat="1" applyFont="1" applyBorder="1"/>
    <xf numFmtId="37" fontId="14" fillId="0" borderId="0" xfId="0" applyNumberFormat="1" applyFont="1" applyAlignment="1">
      <alignment wrapText="1"/>
    </xf>
    <xf numFmtId="0" fontId="35" fillId="0" borderId="0" xfId="0" applyFont="1" applyAlignment="1">
      <alignment horizontal="right" wrapText="1"/>
    </xf>
    <xf numFmtId="0" fontId="6" fillId="0" borderId="0" xfId="0" applyFont="1"/>
    <xf numFmtId="0" fontId="6" fillId="0" borderId="0" xfId="0" applyFont="1" applyFill="1"/>
    <xf numFmtId="0" fontId="0" fillId="0" borderId="0" xfId="0" applyFont="1" applyFill="1" applyBorder="1"/>
    <xf numFmtId="0" fontId="25" fillId="0" borderId="4" xfId="0" applyFont="1" applyBorder="1" applyAlignment="1" applyProtection="1">
      <alignment wrapText="1"/>
      <protection locked="0"/>
    </xf>
    <xf numFmtId="0" fontId="25" fillId="0" borderId="11" xfId="0" applyFont="1" applyBorder="1" applyAlignment="1" applyProtection="1">
      <alignment horizontal="right" wrapText="1"/>
      <protection locked="0"/>
    </xf>
    <xf numFmtId="0" fontId="25" fillId="23" borderId="24" xfId="0" applyFont="1" applyFill="1" applyBorder="1" applyAlignment="1">
      <alignment horizontal="center" wrapText="1"/>
    </xf>
    <xf numFmtId="0" fontId="25" fillId="0" borderId="25" xfId="0" applyFont="1" applyBorder="1" applyAlignment="1">
      <alignment horizontal="center" wrapText="1"/>
    </xf>
    <xf numFmtId="0" fontId="25" fillId="0" borderId="25" xfId="0" applyFont="1" applyFill="1" applyBorder="1" applyAlignment="1">
      <alignment horizontal="center" wrapText="1"/>
    </xf>
    <xf numFmtId="0" fontId="25" fillId="23" borderId="1" xfId="0" applyFont="1" applyFill="1" applyBorder="1" applyAlignment="1">
      <alignment horizontal="center" wrapText="1"/>
    </xf>
    <xf numFmtId="0" fontId="25" fillId="0" borderId="26" xfId="0" applyFont="1" applyBorder="1" applyAlignment="1">
      <alignment horizontal="center" wrapText="1"/>
    </xf>
    <xf numFmtId="0" fontId="25" fillId="23" borderId="27" xfId="0" applyFont="1" applyFill="1" applyBorder="1" applyAlignment="1">
      <alignment horizontal="center" wrapText="1"/>
    </xf>
    <xf numFmtId="0" fontId="25" fillId="24" borderId="26" xfId="0" applyFont="1" applyFill="1" applyBorder="1" applyAlignment="1">
      <alignment horizontal="center" wrapText="1"/>
    </xf>
    <xf numFmtId="0" fontId="25" fillId="23" borderId="28" xfId="0" applyFont="1" applyFill="1" applyBorder="1" applyAlignment="1">
      <alignment horizontal="center" wrapText="1"/>
    </xf>
    <xf numFmtId="0" fontId="25" fillId="24" borderId="25" xfId="0" applyFont="1" applyFill="1" applyBorder="1" applyAlignment="1">
      <alignment horizontal="center" wrapText="1"/>
    </xf>
    <xf numFmtId="0" fontId="25" fillId="0" borderId="0" xfId="0" applyFont="1" applyAlignment="1">
      <alignment wrapText="1"/>
    </xf>
    <xf numFmtId="0" fontId="25" fillId="0" borderId="0" xfId="0" applyFont="1" applyBorder="1" applyAlignment="1">
      <alignment wrapText="1"/>
    </xf>
    <xf numFmtId="0" fontId="25" fillId="0" borderId="0" xfId="0" applyFont="1" applyFill="1" applyBorder="1" applyAlignment="1">
      <alignment wrapText="1"/>
    </xf>
    <xf numFmtId="0" fontId="25" fillId="0" borderId="13" xfId="0" applyFont="1" applyFill="1" applyBorder="1" applyAlignment="1" applyProtection="1">
      <alignment wrapText="1"/>
      <protection locked="0"/>
    </xf>
    <xf numFmtId="49" fontId="25" fillId="0" borderId="14" xfId="0" applyNumberFormat="1" applyFont="1" applyBorder="1" applyAlignment="1" applyProtection="1">
      <alignment horizontal="right" wrapText="1"/>
      <protection locked="0"/>
    </xf>
    <xf numFmtId="0" fontId="25" fillId="23" borderId="0" xfId="0" applyFont="1" applyFill="1" applyBorder="1" applyAlignment="1">
      <alignment horizontal="center" wrapText="1"/>
    </xf>
    <xf numFmtId="0" fontId="25" fillId="0" borderId="13" xfId="0" applyFont="1" applyBorder="1" applyAlignment="1">
      <alignment horizontal="center" wrapText="1"/>
    </xf>
    <xf numFmtId="0" fontId="25" fillId="0" borderId="13" xfId="0" applyFont="1" applyFill="1" applyBorder="1" applyAlignment="1">
      <alignment horizontal="center" wrapText="1"/>
    </xf>
    <xf numFmtId="0" fontId="25" fillId="23" borderId="5" xfId="0" applyFont="1" applyFill="1" applyBorder="1" applyAlignment="1">
      <alignment horizontal="center" wrapText="1"/>
    </xf>
    <xf numFmtId="0" fontId="25" fillId="23" borderId="4" xfId="0" applyFont="1" applyFill="1" applyBorder="1" applyAlignment="1">
      <alignment horizontal="center" wrapText="1"/>
    </xf>
    <xf numFmtId="0" fontId="25" fillId="23" borderId="15" xfId="0" applyFont="1" applyFill="1" applyBorder="1" applyAlignment="1" applyProtection="1">
      <alignment wrapText="1"/>
      <protection locked="0"/>
    </xf>
    <xf numFmtId="0" fontId="25" fillId="23" borderId="10" xfId="0" applyFont="1" applyFill="1" applyBorder="1" applyAlignment="1" applyProtection="1">
      <alignment horizontal="right" wrapText="1"/>
      <protection locked="0"/>
    </xf>
    <xf numFmtId="0" fontId="25" fillId="23" borderId="0" xfId="0" applyFont="1" applyFill="1" applyAlignment="1">
      <alignment wrapText="1"/>
    </xf>
    <xf numFmtId="0" fontId="25" fillId="23" borderId="0" xfId="0" applyFont="1" applyFill="1" applyBorder="1" applyAlignment="1">
      <alignment wrapText="1"/>
    </xf>
    <xf numFmtId="0" fontId="25" fillId="23" borderId="0" xfId="0" applyFont="1" applyFill="1" applyBorder="1" applyAlignment="1" applyProtection="1">
      <alignment wrapText="1"/>
      <protection locked="0"/>
    </xf>
    <xf numFmtId="0" fontId="25" fillId="23" borderId="0" xfId="0" applyFont="1" applyFill="1" applyBorder="1" applyAlignment="1" applyProtection="1">
      <alignment horizontal="right" wrapText="1"/>
      <protection locked="0"/>
    </xf>
    <xf numFmtId="0" fontId="25" fillId="0" borderId="0" xfId="0" applyFont="1" applyFill="1" applyBorder="1" applyAlignment="1" applyProtection="1">
      <alignment wrapText="1"/>
      <protection locked="0"/>
    </xf>
    <xf numFmtId="166" fontId="25" fillId="0" borderId="13" xfId="0" applyNumberFormat="1" applyFont="1" applyBorder="1" applyAlignment="1" applyProtection="1">
      <alignment wrapText="1"/>
      <protection locked="0"/>
    </xf>
    <xf numFmtId="0" fontId="25" fillId="0" borderId="0" xfId="0" applyFont="1" applyFill="1" applyBorder="1" applyAlignment="1">
      <alignment horizontal="center" wrapText="1"/>
    </xf>
    <xf numFmtId="0" fontId="25" fillId="24" borderId="0" xfId="0" applyFont="1" applyFill="1" applyBorder="1" applyAlignment="1">
      <alignment horizontal="center" wrapText="1"/>
    </xf>
    <xf numFmtId="0" fontId="25" fillId="0" borderId="0" xfId="0" applyFont="1" applyFill="1" applyAlignment="1">
      <alignment wrapText="1"/>
    </xf>
    <xf numFmtId="40" fontId="36" fillId="23" borderId="15" xfId="0" applyNumberFormat="1" applyFont="1" applyFill="1" applyBorder="1"/>
    <xf numFmtId="40" fontId="36" fillId="0" borderId="0" xfId="0" applyNumberFormat="1" applyFont="1" applyFill="1" applyBorder="1" applyProtection="1">
      <protection locked="0"/>
    </xf>
    <xf numFmtId="40" fontId="36" fillId="23" borderId="0" xfId="0" applyNumberFormat="1" applyFont="1" applyFill="1" applyBorder="1" applyProtection="1">
      <protection locked="0"/>
    </xf>
    <xf numFmtId="40" fontId="36" fillId="23" borderId="0" xfId="0" applyNumberFormat="1" applyFont="1" applyFill="1" applyBorder="1"/>
    <xf numFmtId="40" fontId="36" fillId="0" borderId="0" xfId="0" applyNumberFormat="1" applyFont="1" applyBorder="1"/>
    <xf numFmtId="40" fontId="36" fillId="23" borderId="24" xfId="0" applyNumberFormat="1" applyFont="1" applyFill="1" applyBorder="1"/>
    <xf numFmtId="0" fontId="25" fillId="0" borderId="16" xfId="0" applyFont="1" applyBorder="1" applyAlignment="1">
      <alignment horizontal="right" wrapText="1"/>
    </xf>
    <xf numFmtId="0" fontId="25" fillId="0" borderId="0" xfId="0" applyFont="1" applyFill="1" applyBorder="1" applyAlignment="1" applyProtection="1">
      <alignment horizontal="center" wrapText="1"/>
      <protection locked="0"/>
    </xf>
    <xf numFmtId="0" fontId="25" fillId="23" borderId="0" xfId="0" applyFont="1" applyFill="1" applyBorder="1" applyAlignment="1" applyProtection="1">
      <alignment horizontal="center" wrapText="1"/>
      <protection locked="0"/>
    </xf>
    <xf numFmtId="0" fontId="37" fillId="0" borderId="0" xfId="0" applyFont="1" applyBorder="1" applyAlignment="1">
      <alignment wrapText="1"/>
    </xf>
    <xf numFmtId="40" fontId="36" fillId="23" borderId="0" xfId="0" applyNumberFormat="1" applyFont="1" applyFill="1"/>
    <xf numFmtId="0" fontId="36" fillId="0" borderId="0" xfId="0" applyFont="1"/>
    <xf numFmtId="0" fontId="36" fillId="0" borderId="0" xfId="0" applyFont="1" applyBorder="1"/>
    <xf numFmtId="0" fontId="36" fillId="0" borderId="0" xfId="0" applyFont="1" applyFill="1" applyBorder="1"/>
    <xf numFmtId="40" fontId="36" fillId="0" borderId="0" xfId="0" applyNumberFormat="1" applyFont="1" applyBorder="1" applyProtection="1">
      <protection locked="0"/>
    </xf>
    <xf numFmtId="0" fontId="25" fillId="25" borderId="6" xfId="0" applyFont="1" applyFill="1" applyBorder="1" applyAlignment="1">
      <alignment wrapText="1"/>
    </xf>
    <xf numFmtId="0" fontId="25" fillId="25" borderId="7" xfId="0" applyFont="1" applyFill="1" applyBorder="1" applyAlignment="1">
      <alignment horizontal="right" wrapText="1"/>
    </xf>
    <xf numFmtId="40" fontId="36" fillId="23" borderId="6" xfId="0" applyNumberFormat="1" applyFont="1" applyFill="1" applyBorder="1"/>
    <xf numFmtId="40" fontId="36" fillId="25" borderId="7" xfId="0" applyNumberFormat="1" applyFont="1" applyFill="1" applyBorder="1"/>
    <xf numFmtId="40" fontId="36" fillId="23" borderId="7" xfId="0" applyNumberFormat="1" applyFont="1" applyFill="1" applyBorder="1"/>
    <xf numFmtId="0" fontId="36" fillId="0" borderId="7" xfId="0" applyFont="1" applyBorder="1"/>
    <xf numFmtId="40" fontId="36" fillId="0" borderId="0" xfId="0" applyNumberFormat="1" applyFont="1" applyFill="1" applyBorder="1"/>
    <xf numFmtId="40" fontId="36" fillId="23" borderId="1" xfId="0" applyNumberFormat="1" applyFont="1" applyFill="1" applyBorder="1"/>
    <xf numFmtId="40" fontId="36" fillId="23" borderId="12" xfId="0" applyNumberFormat="1" applyFont="1" applyFill="1" applyBorder="1"/>
    <xf numFmtId="0" fontId="25" fillId="25" borderId="8" xfId="0" applyFont="1" applyFill="1" applyBorder="1" applyAlignment="1">
      <alignment horizontal="right" wrapText="1"/>
    </xf>
    <xf numFmtId="40" fontId="38" fillId="0" borderId="0" xfId="0" applyNumberFormat="1" applyFont="1" applyFill="1" applyBorder="1" applyProtection="1">
      <protection locked="0"/>
    </xf>
    <xf numFmtId="3" fontId="25" fillId="0" borderId="16" xfId="0" applyNumberFormat="1" applyFont="1" applyBorder="1" applyAlignment="1">
      <alignment horizontal="right" wrapText="1"/>
    </xf>
    <xf numFmtId="0" fontId="25" fillId="0" borderId="16" xfId="0" applyFont="1" applyFill="1" applyBorder="1" applyAlignment="1">
      <alignment horizontal="right" wrapText="1"/>
    </xf>
    <xf numFmtId="40" fontId="35" fillId="0" borderId="0" xfId="0" applyNumberFormat="1" applyFont="1" applyFill="1" applyBorder="1" applyAlignment="1">
      <alignment wrapText="1"/>
    </xf>
    <xf numFmtId="49" fontId="25" fillId="0" borderId="16" xfId="0" applyNumberFormat="1" applyFont="1" applyBorder="1" applyAlignment="1">
      <alignment horizontal="right" wrapText="1"/>
    </xf>
    <xf numFmtId="39" fontId="36" fillId="0" borderId="0" xfId="0" applyNumberFormat="1" applyFont="1" applyFill="1" applyBorder="1" applyProtection="1">
      <protection locked="0"/>
    </xf>
    <xf numFmtId="40" fontId="36" fillId="0" borderId="0" xfId="0" applyNumberFormat="1" applyFont="1" applyBorder="1" applyAlignment="1" applyProtection="1">
      <alignment horizontal="right"/>
      <protection locked="0"/>
    </xf>
    <xf numFmtId="40" fontId="36" fillId="0" borderId="0" xfId="0" applyNumberFormat="1" applyFont="1" applyBorder="1" applyAlignment="1">
      <alignment horizontal="right"/>
    </xf>
    <xf numFmtId="40" fontId="36" fillId="23" borderId="23" xfId="0" applyNumberFormat="1" applyFont="1" applyFill="1" applyBorder="1"/>
    <xf numFmtId="1" fontId="39" fillId="0" borderId="0" xfId="0" quotePrefix="1" applyNumberFormat="1" applyFont="1" applyAlignment="1" applyProtection="1">
      <alignment horizontal="left"/>
      <protection locked="0"/>
    </xf>
    <xf numFmtId="0" fontId="39" fillId="0" borderId="0" xfId="0" quotePrefix="1" applyFont="1" applyProtection="1">
      <protection locked="0"/>
    </xf>
    <xf numFmtId="0" fontId="39" fillId="0" borderId="0" xfId="0" applyFont="1" applyAlignment="1" applyProtection="1">
      <alignment horizontal="left"/>
      <protection locked="0"/>
    </xf>
    <xf numFmtId="0" fontId="40" fillId="0" borderId="0" xfId="0" applyFont="1" applyFill="1" applyBorder="1"/>
    <xf numFmtId="0" fontId="36" fillId="0" borderId="0" xfId="0" applyFont="1" applyFill="1"/>
    <xf numFmtId="0" fontId="36" fillId="0" borderId="7" xfId="0" applyFont="1" applyFill="1" applyBorder="1"/>
    <xf numFmtId="0" fontId="43" fillId="0" borderId="0" xfId="20" applyFont="1"/>
    <xf numFmtId="167" fontId="44" fillId="0" borderId="0" xfId="20" applyNumberFormat="1" applyFont="1"/>
    <xf numFmtId="0" fontId="0" fillId="0" borderId="0" xfId="20" applyFont="1"/>
    <xf numFmtId="0" fontId="35" fillId="0" borderId="0" xfId="20" applyFont="1"/>
    <xf numFmtId="0" fontId="44" fillId="0" borderId="0" xfId="20" applyFont="1"/>
    <xf numFmtId="0" fontId="45" fillId="0" borderId="0" xfId="20" applyFont="1"/>
    <xf numFmtId="0" fontId="35" fillId="26" borderId="29" xfId="20" applyFont="1" applyFill="1" applyBorder="1" applyAlignment="1">
      <alignment wrapText="1"/>
    </xf>
    <xf numFmtId="0" fontId="35" fillId="26" borderId="29" xfId="20" applyFont="1" applyFill="1" applyBorder="1"/>
    <xf numFmtId="44" fontId="35" fillId="26" borderId="29" xfId="20" applyNumberFormat="1" applyFont="1" applyFill="1" applyBorder="1" applyAlignment="1">
      <alignment wrapText="1"/>
    </xf>
    <xf numFmtId="0" fontId="35" fillId="26" borderId="0" xfId="20" applyFont="1" applyFill="1"/>
    <xf numFmtId="44" fontId="0" fillId="0" borderId="0" xfId="20" applyNumberFormat="1" applyFont="1"/>
    <xf numFmtId="44" fontId="35" fillId="0" borderId="0" xfId="20" applyNumberFormat="1" applyFont="1"/>
    <xf numFmtId="0" fontId="42" fillId="0" borderId="0" xfId="20"/>
    <xf numFmtId="0" fontId="35" fillId="4" borderId="0" xfId="20" applyFont="1" applyFill="1"/>
    <xf numFmtId="0" fontId="46" fillId="4" borderId="0" xfId="20" applyFont="1" applyFill="1"/>
    <xf numFmtId="8" fontId="35" fillId="4" borderId="0" xfId="20" applyNumberFormat="1" applyFont="1" applyFill="1"/>
    <xf numFmtId="164" fontId="28" fillId="0" borderId="30" xfId="0" applyNumberFormat="1" applyFont="1" applyBorder="1"/>
    <xf numFmtId="0" fontId="27" fillId="0" borderId="18" xfId="0" applyFont="1" applyBorder="1"/>
    <xf numFmtId="44" fontId="14" fillId="0" borderId="5" xfId="0" applyNumberFormat="1" applyFont="1" applyBorder="1"/>
    <xf numFmtId="44" fontId="14" fillId="2" borderId="5" xfId="0" applyNumberFormat="1" applyFont="1" applyFill="1" applyBorder="1"/>
    <xf numFmtId="44" fontId="14" fillId="0" borderId="5" xfId="0" applyNumberFormat="1" applyFont="1" applyFill="1" applyBorder="1"/>
    <xf numFmtId="44" fontId="14" fillId="0" borderId="13" xfId="0" applyNumberFormat="1" applyFont="1" applyBorder="1"/>
    <xf numFmtId="44" fontId="14" fillId="3" borderId="3" xfId="0" applyNumberFormat="1" applyFont="1" applyFill="1" applyBorder="1"/>
    <xf numFmtId="0" fontId="19" fillId="7" borderId="5" xfId="0" applyFont="1" applyFill="1" applyBorder="1"/>
    <xf numFmtId="0" fontId="19" fillId="5" borderId="4" xfId="0" applyFont="1" applyFill="1" applyBorder="1"/>
    <xf numFmtId="0" fontId="19" fillId="9" borderId="5" xfId="0" applyFont="1" applyFill="1" applyBorder="1"/>
    <xf numFmtId="0" fontId="19" fillId="10" borderId="4" xfId="0" applyFont="1" applyFill="1" applyBorder="1"/>
    <xf numFmtId="0" fontId="19" fillId="0" borderId="5" xfId="0" applyFont="1" applyBorder="1"/>
    <xf numFmtId="0" fontId="19" fillId="10" borderId="5" xfId="0" applyFont="1" applyFill="1" applyBorder="1"/>
    <xf numFmtId="0" fontId="19" fillId="12" borderId="5" xfId="0" applyFont="1" applyFill="1" applyBorder="1"/>
    <xf numFmtId="0" fontId="18" fillId="2" borderId="5" xfId="0" applyFont="1" applyFill="1" applyBorder="1"/>
    <xf numFmtId="0" fontId="19" fillId="13" borderId="5" xfId="0" applyFont="1" applyFill="1" applyBorder="1"/>
    <xf numFmtId="44" fontId="47" fillId="14" borderId="3" xfId="0" applyNumberFormat="1" applyFont="1" applyFill="1" applyBorder="1"/>
    <xf numFmtId="44" fontId="13" fillId="0" borderId="5" xfId="4" applyFont="1" applyBorder="1"/>
    <xf numFmtId="44" fontId="30" fillId="0" borderId="5" xfId="0" applyNumberFormat="1" applyFont="1" applyBorder="1"/>
    <xf numFmtId="7" fontId="11" fillId="0" borderId="17" xfId="0" applyNumberFormat="1" applyFont="1" applyBorder="1"/>
    <xf numFmtId="0" fontId="11" fillId="0" borderId="17" xfId="0" applyFont="1" applyBorder="1" applyAlignment="1">
      <alignment horizontal="right"/>
    </xf>
    <xf numFmtId="0" fontId="12" fillId="0" borderId="17" xfId="0" applyFont="1" applyBorder="1" applyAlignment="1">
      <alignment horizontal="right"/>
    </xf>
    <xf numFmtId="164" fontId="28" fillId="0" borderId="18" xfId="0" applyNumberFormat="1" applyFont="1" applyBorder="1"/>
    <xf numFmtId="44" fontId="14" fillId="6" borderId="0" xfId="4" applyFont="1" applyFill="1" applyBorder="1"/>
    <xf numFmtId="44" fontId="13" fillId="16" borderId="7" xfId="4" applyFont="1" applyFill="1" applyBorder="1"/>
    <xf numFmtId="44" fontId="14" fillId="15" borderId="7" xfId="4" applyFont="1" applyFill="1" applyBorder="1"/>
    <xf numFmtId="0" fontId="11" fillId="0" borderId="17" xfId="0" applyFont="1" applyBorder="1" applyAlignment="1">
      <alignment horizontal="right" wrapText="1"/>
    </xf>
    <xf numFmtId="172" fontId="44" fillId="0" borderId="0" xfId="19" applyNumberFormat="1" applyFont="1"/>
    <xf numFmtId="0" fontId="0" fillId="27" borderId="0" xfId="0" applyFont="1" applyFill="1" applyBorder="1"/>
    <xf numFmtId="0" fontId="9" fillId="27" borderId="0" xfId="0" applyFont="1" applyFill="1" applyBorder="1"/>
    <xf numFmtId="0" fontId="10" fillId="27" borderId="5" xfId="0" applyFont="1" applyFill="1" applyBorder="1"/>
    <xf numFmtId="0" fontId="29" fillId="27" borderId="5" xfId="0" applyFont="1" applyFill="1" applyBorder="1"/>
    <xf numFmtId="0" fontId="19" fillId="27" borderId="5" xfId="0" applyFont="1" applyFill="1" applyBorder="1"/>
    <xf numFmtId="49" fontId="7" fillId="28" borderId="7" xfId="3" applyFont="1" applyFill="1" applyBorder="1" applyAlignment="1"/>
    <xf numFmtId="44" fontId="14" fillId="28" borderId="7" xfId="4" applyFont="1" applyFill="1" applyBorder="1"/>
    <xf numFmtId="0" fontId="23" fillId="27" borderId="15" xfId="0" applyFont="1" applyFill="1" applyBorder="1"/>
    <xf numFmtId="0" fontId="1" fillId="27" borderId="0" xfId="0" applyFont="1" applyFill="1" applyBorder="1"/>
    <xf numFmtId="0" fontId="10" fillId="27" borderId="0" xfId="0" applyFont="1" applyFill="1" applyBorder="1"/>
    <xf numFmtId="49" fontId="7" fillId="28" borderId="6" xfId="3" applyFont="1" applyFill="1" applyBorder="1" applyAlignment="1"/>
    <xf numFmtId="49" fontId="14" fillId="28" borderId="7" xfId="3" applyFont="1" applyFill="1" applyBorder="1" applyAlignment="1"/>
    <xf numFmtId="49" fontId="7" fillId="28" borderId="6" xfId="3" applyNumberFormat="1" applyFont="1" applyFill="1" applyBorder="1" applyAlignment="1"/>
    <xf numFmtId="44" fontId="14" fillId="28" borderId="3" xfId="4" applyFont="1" applyFill="1" applyBorder="1"/>
    <xf numFmtId="44" fontId="14" fillId="18" borderId="3" xfId="4" applyFont="1" applyFill="1" applyBorder="1"/>
    <xf numFmtId="44" fontId="14" fillId="12" borderId="3" xfId="0" applyNumberFormat="1" applyFont="1" applyFill="1" applyBorder="1"/>
    <xf numFmtId="44" fontId="30" fillId="12" borderId="3" xfId="0" applyNumberFormat="1" applyFont="1" applyFill="1" applyBorder="1"/>
    <xf numFmtId="44" fontId="14" fillId="12" borderId="3" xfId="4" applyFont="1" applyFill="1" applyBorder="1"/>
    <xf numFmtId="44" fontId="43" fillId="0" borderId="0" xfId="19" applyFont="1"/>
    <xf numFmtId="44" fontId="44" fillId="0" borderId="0" xfId="19" applyFont="1"/>
    <xf numFmtId="168" fontId="43" fillId="4" borderId="0" xfId="20" applyNumberFormat="1" applyFont="1" applyFill="1" applyAlignment="1">
      <alignment horizontal="right"/>
    </xf>
    <xf numFmtId="169" fontId="43" fillId="4" borderId="0" xfId="19" applyNumberFormat="1" applyFont="1" applyFill="1"/>
    <xf numFmtId="44" fontId="29" fillId="0" borderId="5" xfId="4" applyFont="1" applyBorder="1"/>
    <xf numFmtId="14" fontId="9" fillId="0" borderId="0" xfId="0" applyNumberFormat="1" applyFont="1" applyFill="1" applyBorder="1"/>
    <xf numFmtId="172" fontId="49" fillId="0" borderId="0" xfId="19" applyNumberFormat="1" applyFont="1"/>
    <xf numFmtId="44" fontId="44" fillId="0" borderId="0" xfId="20" applyNumberFormat="1" applyFont="1"/>
    <xf numFmtId="169" fontId="54" fillId="4" borderId="0" xfId="19" applyNumberFormat="1" applyFont="1" applyFill="1"/>
    <xf numFmtId="0" fontId="55" fillId="0" borderId="0" xfId="20" applyFont="1"/>
    <xf numFmtId="3" fontId="0" fillId="0" borderId="0" xfId="20" applyNumberFormat="1" applyFont="1"/>
    <xf numFmtId="169" fontId="50" fillId="4" borderId="0" xfId="19" applyNumberFormat="1" applyFont="1" applyFill="1"/>
    <xf numFmtId="8" fontId="35" fillId="29" borderId="0" xfId="20" applyNumberFormat="1" applyFont="1" applyFill="1"/>
    <xf numFmtId="0" fontId="57" fillId="0" borderId="0" xfId="20" applyFont="1"/>
    <xf numFmtId="44" fontId="35" fillId="26" borderId="0" xfId="20" applyNumberFormat="1" applyFont="1" applyFill="1"/>
    <xf numFmtId="44" fontId="35" fillId="26" borderId="0" xfId="19" applyNumberFormat="1" applyFont="1" applyFill="1"/>
    <xf numFmtId="172" fontId="0" fillId="0" borderId="0" xfId="20" applyNumberFormat="1" applyFont="1"/>
    <xf numFmtId="44" fontId="14" fillId="0" borderId="5" xfId="4" applyFont="1" applyBorder="1" applyProtection="1">
      <protection locked="0"/>
    </xf>
    <xf numFmtId="0" fontId="20" fillId="0" borderId="0" xfId="0" applyFont="1" applyFill="1" applyBorder="1"/>
    <xf numFmtId="42" fontId="11" fillId="0" borderId="17" xfId="0" applyNumberFormat="1" applyFont="1" applyBorder="1"/>
    <xf numFmtId="42" fontId="12" fillId="0" borderId="17" xfId="0" applyNumberFormat="1" applyFont="1" applyBorder="1"/>
    <xf numFmtId="42" fontId="28" fillId="0" borderId="17" xfId="0" applyNumberFormat="1" applyFont="1" applyBorder="1"/>
    <xf numFmtId="173" fontId="28" fillId="0" borderId="17" xfId="0" applyNumberFormat="1" applyFont="1" applyBorder="1"/>
    <xf numFmtId="0" fontId="14" fillId="8" borderId="8" xfId="0" applyFont="1" applyFill="1" applyBorder="1" applyAlignment="1">
      <alignment horizontal="center" wrapText="1"/>
    </xf>
    <xf numFmtId="44" fontId="14" fillId="0" borderId="16" xfId="0" applyNumberFormat="1" applyFont="1" applyBorder="1"/>
    <xf numFmtId="44" fontId="14" fillId="0" borderId="16" xfId="0" applyNumberFormat="1" applyFont="1" applyFill="1" applyBorder="1"/>
    <xf numFmtId="44" fontId="14" fillId="4" borderId="11" xfId="4" applyFont="1" applyFill="1" applyBorder="1"/>
    <xf numFmtId="44" fontId="14" fillId="0" borderId="16" xfId="4" applyFont="1" applyBorder="1"/>
    <xf numFmtId="44" fontId="14" fillId="0" borderId="16" xfId="4" applyFont="1" applyFill="1" applyBorder="1"/>
    <xf numFmtId="44" fontId="14" fillId="6" borderId="8" xfId="4" applyFont="1" applyFill="1" applyBorder="1"/>
    <xf numFmtId="44" fontId="14" fillId="2" borderId="16" xfId="0" applyNumberFormat="1" applyFont="1" applyFill="1" applyBorder="1"/>
    <xf numFmtId="44" fontId="14" fillId="2" borderId="16" xfId="4" applyFont="1" applyFill="1" applyBorder="1"/>
    <xf numFmtId="44" fontId="14" fillId="0" borderId="14" xfId="0" applyNumberFormat="1" applyFont="1" applyBorder="1"/>
    <xf numFmtId="44" fontId="14" fillId="16" borderId="8" xfId="4" applyFont="1" applyFill="1" applyBorder="1"/>
    <xf numFmtId="44" fontId="14" fillId="3" borderId="8" xfId="0" applyNumberFormat="1" applyFont="1" applyFill="1" applyBorder="1"/>
    <xf numFmtId="44" fontId="14" fillId="15" borderId="8" xfId="4" applyFont="1" applyFill="1" applyBorder="1"/>
    <xf numFmtId="44" fontId="14" fillId="6" borderId="16" xfId="4" applyFont="1" applyFill="1" applyBorder="1"/>
    <xf numFmtId="44" fontId="14" fillId="8" borderId="8" xfId="4" applyFont="1" applyFill="1" applyBorder="1"/>
    <xf numFmtId="0" fontId="19" fillId="7" borderId="16" xfId="0" applyFont="1" applyFill="1" applyBorder="1"/>
    <xf numFmtId="44" fontId="14" fillId="7" borderId="8" xfId="4" applyFont="1" applyFill="1" applyBorder="1"/>
    <xf numFmtId="0" fontId="19" fillId="5" borderId="11" xfId="0" applyFont="1" applyFill="1" applyBorder="1"/>
    <xf numFmtId="44" fontId="14" fillId="5" borderId="8" xfId="4" applyFont="1" applyFill="1" applyBorder="1"/>
    <xf numFmtId="0" fontId="19" fillId="9" borderId="16" xfId="0" applyFont="1" applyFill="1" applyBorder="1"/>
    <xf numFmtId="44" fontId="14" fillId="17" borderId="8" xfId="4" applyFont="1" applyFill="1" applyBorder="1"/>
    <xf numFmtId="0" fontId="19" fillId="10" borderId="11" xfId="0" applyFont="1" applyFill="1" applyBorder="1"/>
    <xf numFmtId="44" fontId="14" fillId="10" borderId="8" xfId="4" applyFont="1" applyFill="1" applyBorder="1"/>
    <xf numFmtId="0" fontId="19" fillId="0" borderId="16" xfId="0" applyFont="1" applyBorder="1"/>
    <xf numFmtId="0" fontId="19" fillId="10" borderId="16" xfId="0" applyFont="1" applyFill="1" applyBorder="1"/>
    <xf numFmtId="44" fontId="14" fillId="19" borderId="8" xfId="4" applyFont="1" applyFill="1" applyBorder="1"/>
    <xf numFmtId="44" fontId="14" fillId="11" borderId="8" xfId="4" applyFont="1" applyFill="1" applyBorder="1"/>
    <xf numFmtId="0" fontId="19" fillId="27" borderId="16" xfId="0" applyFont="1" applyFill="1" applyBorder="1"/>
    <xf numFmtId="44" fontId="14" fillId="28" borderId="8" xfId="4" applyFont="1" applyFill="1" applyBorder="1"/>
    <xf numFmtId="0" fontId="19" fillId="12" borderId="16" xfId="0" applyFont="1" applyFill="1" applyBorder="1"/>
    <xf numFmtId="0" fontId="18" fillId="2" borderId="16" xfId="0" applyFont="1" applyFill="1" applyBorder="1"/>
    <xf numFmtId="44" fontId="14" fillId="21" borderId="8" xfId="4" applyFont="1" applyFill="1" applyBorder="1"/>
    <xf numFmtId="44" fontId="14" fillId="12" borderId="8" xfId="4" applyFont="1" applyFill="1" applyBorder="1"/>
    <xf numFmtId="0" fontId="19" fillId="13" borderId="16" xfId="0" applyFont="1" applyFill="1" applyBorder="1"/>
    <xf numFmtId="44" fontId="14" fillId="13" borderId="8" xfId="4" applyFont="1" applyFill="1" applyBorder="1"/>
    <xf numFmtId="44" fontId="14" fillId="22" borderId="8" xfId="4" applyFont="1" applyFill="1" applyBorder="1"/>
    <xf numFmtId="44" fontId="47" fillId="14" borderId="8" xfId="0" applyNumberFormat="1" applyFont="1" applyFill="1" applyBorder="1"/>
    <xf numFmtId="0" fontId="29" fillId="8" borderId="8" xfId="0" applyFont="1" applyFill="1" applyBorder="1" applyAlignment="1">
      <alignment horizontal="center" wrapText="1"/>
    </xf>
    <xf numFmtId="44" fontId="30" fillId="0" borderId="16" xfId="0" applyNumberFormat="1" applyFont="1" applyBorder="1"/>
    <xf numFmtId="44" fontId="30" fillId="4" borderId="11" xfId="0" applyNumberFormat="1" applyFont="1" applyFill="1" applyBorder="1"/>
    <xf numFmtId="44" fontId="30" fillId="3" borderId="8" xfId="0" applyNumberFormat="1" applyFont="1" applyFill="1" applyBorder="1"/>
    <xf numFmtId="44" fontId="30" fillId="6" borderId="8" xfId="0" applyNumberFormat="1" applyFont="1" applyFill="1" applyBorder="1"/>
    <xf numFmtId="44" fontId="29" fillId="6" borderId="8" xfId="0" applyNumberFormat="1" applyFont="1" applyFill="1" applyBorder="1"/>
    <xf numFmtId="44" fontId="30" fillId="16" borderId="8" xfId="0" applyNumberFormat="1" applyFont="1" applyFill="1" applyBorder="1"/>
    <xf numFmtId="44" fontId="29" fillId="15" borderId="8" xfId="0" applyNumberFormat="1" applyFont="1" applyFill="1" applyBorder="1"/>
    <xf numFmtId="44" fontId="29" fillId="6" borderId="16" xfId="0" applyNumberFormat="1" applyFont="1" applyFill="1" applyBorder="1"/>
    <xf numFmtId="44" fontId="29" fillId="8" borderId="8" xfId="0" applyNumberFormat="1" applyFont="1" applyFill="1" applyBorder="1"/>
    <xf numFmtId="44" fontId="29" fillId="7" borderId="8" xfId="0" applyNumberFormat="1" applyFont="1" applyFill="1" applyBorder="1"/>
    <xf numFmtId="44" fontId="29" fillId="2" borderId="16" xfId="0" applyNumberFormat="1" applyFont="1" applyFill="1" applyBorder="1"/>
    <xf numFmtId="44" fontId="29" fillId="3" borderId="8" xfId="0" applyNumberFormat="1" applyFont="1" applyFill="1" applyBorder="1"/>
    <xf numFmtId="44" fontId="30" fillId="6" borderId="16" xfId="0" applyNumberFormat="1" applyFont="1" applyFill="1" applyBorder="1"/>
    <xf numFmtId="44" fontId="29" fillId="5" borderId="8" xfId="0" applyNumberFormat="1" applyFont="1" applyFill="1" applyBorder="1"/>
    <xf numFmtId="44" fontId="29" fillId="0" borderId="16" xfId="0" applyNumberFormat="1" applyFont="1" applyFill="1" applyBorder="1"/>
    <xf numFmtId="44" fontId="30" fillId="17" borderId="8" xfId="0" applyNumberFormat="1" applyFont="1" applyFill="1" applyBorder="1"/>
    <xf numFmtId="44" fontId="29" fillId="10" borderId="11" xfId="0" applyNumberFormat="1" applyFont="1" applyFill="1" applyBorder="1"/>
    <xf numFmtId="44" fontId="30" fillId="10" borderId="8" xfId="0" applyNumberFormat="1" applyFont="1" applyFill="1" applyBorder="1"/>
    <xf numFmtId="44" fontId="30" fillId="10" borderId="16" xfId="0" applyNumberFormat="1" applyFont="1" applyFill="1" applyBorder="1"/>
    <xf numFmtId="44" fontId="30" fillId="19" borderId="8" xfId="0" applyNumberFormat="1" applyFont="1" applyFill="1" applyBorder="1"/>
    <xf numFmtId="44" fontId="30" fillId="11" borderId="8" xfId="0" applyNumberFormat="1" applyFont="1" applyFill="1" applyBorder="1"/>
    <xf numFmtId="44" fontId="30" fillId="28" borderId="8" xfId="0" applyNumberFormat="1" applyFont="1" applyFill="1" applyBorder="1"/>
    <xf numFmtId="44" fontId="30" fillId="0" borderId="16" xfId="0" applyNumberFormat="1" applyFont="1" applyFill="1" applyBorder="1"/>
    <xf numFmtId="44" fontId="29" fillId="27" borderId="16" xfId="0" applyNumberFormat="1" applyFont="1" applyFill="1" applyBorder="1"/>
    <xf numFmtId="44" fontId="31" fillId="12" borderId="16" xfId="0" applyNumberFormat="1" applyFont="1" applyFill="1" applyBorder="1"/>
    <xf numFmtId="44" fontId="30" fillId="18" borderId="8" xfId="0" applyNumberFormat="1" applyFont="1" applyFill="1" applyBorder="1"/>
    <xf numFmtId="44" fontId="29" fillId="12" borderId="16" xfId="0" applyNumberFormat="1" applyFont="1" applyFill="1" applyBorder="1"/>
    <xf numFmtId="44" fontId="30" fillId="21" borderId="8" xfId="0" applyNumberFormat="1" applyFont="1" applyFill="1" applyBorder="1"/>
    <xf numFmtId="44" fontId="30" fillId="12" borderId="8" xfId="0" applyNumberFormat="1" applyFont="1" applyFill="1" applyBorder="1"/>
    <xf numFmtId="44" fontId="29" fillId="13" borderId="8" xfId="0" applyNumberFormat="1" applyFont="1" applyFill="1" applyBorder="1"/>
    <xf numFmtId="44" fontId="30" fillId="22" borderId="8" xfId="0" applyNumberFormat="1" applyFont="1" applyFill="1" applyBorder="1"/>
    <xf numFmtId="44" fontId="32" fillId="14" borderId="8" xfId="0" applyNumberFormat="1" applyFont="1" applyFill="1" applyBorder="1"/>
    <xf numFmtId="4" fontId="36" fillId="25" borderId="7" xfId="0" applyNumberFormat="1" applyFont="1" applyFill="1" applyBorder="1"/>
    <xf numFmtId="49" fontId="58" fillId="30" borderId="31" xfId="0" applyNumberFormat="1" applyFont="1" applyFill="1" applyBorder="1"/>
    <xf numFmtId="49" fontId="58" fillId="30" borderId="32" xfId="0" applyNumberFormat="1" applyFont="1" applyFill="1" applyBorder="1"/>
    <xf numFmtId="49" fontId="58" fillId="0" borderId="32" xfId="0" applyNumberFormat="1" applyFont="1" applyBorder="1"/>
    <xf numFmtId="49" fontId="59" fillId="30" borderId="20" xfId="0" applyNumberFormat="1" applyFont="1" applyFill="1" applyBorder="1" applyAlignment="1">
      <alignment horizontal="center"/>
    </xf>
    <xf numFmtId="49" fontId="59" fillId="30" borderId="17" xfId="0" applyNumberFormat="1" applyFont="1" applyFill="1" applyBorder="1" applyAlignment="1">
      <alignment horizontal="center"/>
    </xf>
    <xf numFmtId="49" fontId="59" fillId="0" borderId="17" xfId="0" applyNumberFormat="1" applyFont="1" applyBorder="1" applyAlignment="1">
      <alignment horizontal="center"/>
    </xf>
    <xf numFmtId="49" fontId="58" fillId="0" borderId="17" xfId="0" applyNumberFormat="1" applyFont="1" applyBorder="1"/>
    <xf numFmtId="49" fontId="59" fillId="30" borderId="33" xfId="0" applyNumberFormat="1" applyFont="1" applyFill="1" applyBorder="1" applyAlignment="1">
      <alignment wrapText="1"/>
    </xf>
    <xf numFmtId="49" fontId="59" fillId="30" borderId="34" xfId="0" applyNumberFormat="1" applyFont="1" applyFill="1" applyBorder="1" applyAlignment="1">
      <alignment wrapText="1"/>
    </xf>
    <xf numFmtId="49" fontId="59" fillId="0" borderId="34" xfId="0" applyNumberFormat="1" applyFont="1" applyBorder="1" applyAlignment="1">
      <alignment wrapText="1"/>
    </xf>
    <xf numFmtId="49" fontId="2" fillId="30" borderId="30" xfId="0" applyNumberFormat="1" applyFont="1" applyFill="1" applyBorder="1"/>
    <xf numFmtId="49" fontId="2" fillId="0" borderId="30" xfId="0" applyNumberFormat="1" applyFont="1" applyBorder="1"/>
    <xf numFmtId="49" fontId="2" fillId="30" borderId="17" xfId="0" applyNumberFormat="1" applyFont="1" applyFill="1" applyBorder="1"/>
    <xf numFmtId="49" fontId="2" fillId="0" borderId="17" xfId="0" applyNumberFormat="1" applyFont="1" applyBorder="1"/>
    <xf numFmtId="49" fontId="2" fillId="30" borderId="17" xfId="0" applyNumberFormat="1" applyFont="1" applyFill="1" applyBorder="1" applyAlignment="1">
      <alignment wrapText="1"/>
    </xf>
    <xf numFmtId="49" fontId="2" fillId="0" borderId="17" xfId="0" applyNumberFormat="1" applyFont="1" applyFill="1" applyBorder="1"/>
    <xf numFmtId="0" fontId="58" fillId="30" borderId="32" xfId="0" applyNumberFormat="1" applyFont="1" applyFill="1" applyBorder="1"/>
    <xf numFmtId="0" fontId="59" fillId="30" borderId="17" xfId="0" applyNumberFormat="1" applyFont="1" applyFill="1" applyBorder="1" applyAlignment="1">
      <alignment horizontal="center"/>
    </xf>
    <xf numFmtId="0" fontId="59" fillId="30" borderId="34" xfId="0" applyNumberFormat="1" applyFont="1" applyFill="1" applyBorder="1" applyAlignment="1">
      <alignment wrapText="1"/>
    </xf>
    <xf numFmtId="0" fontId="2" fillId="30" borderId="17" xfId="0" applyNumberFormat="1" applyFont="1" applyFill="1" applyBorder="1"/>
    <xf numFmtId="44" fontId="2" fillId="30" borderId="30" xfId="0" applyNumberFormat="1" applyFont="1" applyFill="1" applyBorder="1"/>
    <xf numFmtId="44" fontId="2" fillId="30" borderId="17" xfId="0" applyNumberFormat="1" applyFont="1" applyFill="1" applyBorder="1"/>
    <xf numFmtId="44" fontId="2" fillId="0" borderId="17" xfId="0" applyNumberFormat="1" applyFont="1" applyBorder="1"/>
    <xf numFmtId="0" fontId="2" fillId="0" borderId="17" xfId="0" applyNumberFormat="1" applyFont="1" applyBorder="1"/>
    <xf numFmtId="8" fontId="2" fillId="0" borderId="17" xfId="0" applyNumberFormat="1" applyFont="1" applyBorder="1"/>
    <xf numFmtId="44" fontId="9" fillId="0" borderId="0" xfId="0" applyNumberFormat="1" applyFont="1" applyFill="1" applyBorder="1"/>
    <xf numFmtId="44" fontId="9" fillId="2" borderId="0" xfId="0" applyNumberFormat="1" applyFont="1" applyFill="1" applyBorder="1"/>
    <xf numFmtId="168" fontId="44" fillId="0" borderId="0" xfId="20" applyNumberFormat="1" applyFont="1" applyFill="1" applyAlignment="1">
      <alignment horizontal="right" wrapText="1"/>
    </xf>
    <xf numFmtId="172" fontId="44" fillId="0" borderId="0" xfId="19" applyNumberFormat="1" applyFont="1" applyFill="1" applyAlignment="1">
      <alignment wrapText="1"/>
    </xf>
    <xf numFmtId="172" fontId="48" fillId="0" borderId="0" xfId="19" applyNumberFormat="1" applyFont="1" applyFill="1" applyAlignment="1">
      <alignment wrapText="1"/>
    </xf>
    <xf numFmtId="172" fontId="44" fillId="0" borderId="0" xfId="19" applyNumberFormat="1" applyFont="1" applyFill="1"/>
    <xf numFmtId="172" fontId="48" fillId="0" borderId="0" xfId="19" applyNumberFormat="1" applyFont="1" applyFill="1"/>
    <xf numFmtId="172" fontId="49" fillId="0" borderId="0" xfId="19" applyNumberFormat="1" applyFont="1" applyFill="1"/>
    <xf numFmtId="168" fontId="44" fillId="0" borderId="0" xfId="20" applyNumberFormat="1" applyFont="1" applyFill="1" applyAlignment="1">
      <alignment horizontal="right"/>
    </xf>
    <xf numFmtId="168" fontId="48" fillId="0" borderId="0" xfId="20" applyNumberFormat="1" applyFont="1" applyFill="1" applyAlignment="1">
      <alignment horizontal="right"/>
    </xf>
    <xf numFmtId="172" fontId="43" fillId="0" borderId="0" xfId="19" applyNumberFormat="1" applyFont="1" applyFill="1"/>
    <xf numFmtId="172" fontId="50" fillId="0" borderId="0" xfId="19" applyNumberFormat="1" applyFont="1" applyFill="1"/>
    <xf numFmtId="172" fontId="51" fillId="0" borderId="0" xfId="19" applyNumberFormat="1" applyFont="1" applyFill="1"/>
    <xf numFmtId="172" fontId="52" fillId="0" borderId="0" xfId="19" applyNumberFormat="1" applyFont="1" applyFill="1"/>
    <xf numFmtId="169" fontId="44" fillId="0" borderId="0" xfId="19" applyNumberFormat="1" applyFont="1" applyFill="1"/>
    <xf numFmtId="169" fontId="43" fillId="0" borderId="0" xfId="19" applyNumberFormat="1" applyFont="1" applyFill="1"/>
    <xf numFmtId="169" fontId="50" fillId="0" borderId="0" xfId="19" applyNumberFormat="1" applyFont="1" applyFill="1"/>
    <xf numFmtId="8" fontId="35" fillId="0" borderId="0" xfId="20" applyNumberFormat="1" applyFont="1" applyFill="1"/>
    <xf numFmtId="44" fontId="35" fillId="0" borderId="0" xfId="20" applyNumberFormat="1" applyFont="1" applyFill="1"/>
    <xf numFmtId="0" fontId="0" fillId="0" borderId="0" xfId="20" applyFont="1" applyFill="1"/>
    <xf numFmtId="44" fontId="0" fillId="0" borderId="0" xfId="20" applyNumberFormat="1" applyFont="1" applyFill="1"/>
    <xf numFmtId="8" fontId="0" fillId="0" borderId="0" xfId="20" applyNumberFormat="1" applyFont="1" applyFill="1"/>
    <xf numFmtId="44" fontId="35" fillId="0" borderId="0" xfId="21" applyNumberFormat="1" applyFont="1" applyFill="1"/>
    <xf numFmtId="0" fontId="35" fillId="0" borderId="0" xfId="20" applyFont="1" applyFill="1"/>
    <xf numFmtId="6" fontId="35" fillId="0" borderId="0" xfId="20" applyNumberFormat="1" applyFont="1" applyFill="1"/>
    <xf numFmtId="0" fontId="42" fillId="0" borderId="0" xfId="20" applyFill="1"/>
    <xf numFmtId="44" fontId="0" fillId="0" borderId="0" xfId="0" applyNumberFormat="1" applyFill="1"/>
    <xf numFmtId="44" fontId="42" fillId="0" borderId="0" xfId="20" applyNumberFormat="1" applyFill="1"/>
    <xf numFmtId="168" fontId="0" fillId="0" borderId="0" xfId="20" applyNumberFormat="1" applyFont="1" applyFill="1" applyAlignment="1">
      <alignment horizontal="right"/>
    </xf>
    <xf numFmtId="172" fontId="43" fillId="4" borderId="0" xfId="19" applyNumberFormat="1" applyFont="1" applyFill="1"/>
    <xf numFmtId="169" fontId="45" fillId="4" borderId="0" xfId="19" applyNumberFormat="1" applyFont="1" applyFill="1"/>
    <xf numFmtId="0" fontId="55" fillId="0" borderId="0" xfId="20" applyFont="1" applyFill="1"/>
    <xf numFmtId="0" fontId="43" fillId="4" borderId="0" xfId="20" applyFont="1" applyFill="1"/>
    <xf numFmtId="0" fontId="45" fillId="4" borderId="0" xfId="20" applyFont="1" applyFill="1"/>
    <xf numFmtId="0" fontId="44" fillId="4" borderId="0" xfId="20" applyFont="1" applyFill="1"/>
    <xf numFmtId="4" fontId="35" fillId="0" borderId="0" xfId="20" applyNumberFormat="1" applyFont="1" applyFill="1"/>
    <xf numFmtId="0" fontId="35" fillId="4" borderId="29" xfId="20" applyFont="1" applyFill="1" applyBorder="1" applyAlignment="1">
      <alignment wrapText="1"/>
    </xf>
    <xf numFmtId="44" fontId="35" fillId="4" borderId="29" xfId="20" applyNumberFormat="1" applyFont="1" applyFill="1" applyBorder="1" applyAlignment="1">
      <alignment wrapText="1"/>
    </xf>
    <xf numFmtId="44" fontId="35" fillId="4" borderId="0" xfId="20" applyNumberFormat="1" applyFont="1" applyFill="1"/>
    <xf numFmtId="171" fontId="35" fillId="4" borderId="0" xfId="19" applyNumberFormat="1" applyFont="1" applyFill="1"/>
    <xf numFmtId="44" fontId="35" fillId="4" borderId="0" xfId="19" applyNumberFormat="1" applyFont="1" applyFill="1"/>
    <xf numFmtId="0" fontId="0" fillId="0" borderId="0" xfId="20" applyFont="1" applyFill="1" applyAlignment="1">
      <alignment horizontal="left"/>
    </xf>
    <xf numFmtId="0" fontId="53" fillId="0" borderId="0" xfId="20" applyFont="1" applyFill="1"/>
    <xf numFmtId="6" fontId="0" fillId="0" borderId="0" xfId="20" applyNumberFormat="1" applyFont="1" applyFill="1" applyAlignment="1">
      <alignment horizontal="left"/>
    </xf>
    <xf numFmtId="0" fontId="56" fillId="0" borderId="0" xfId="20" applyFont="1" applyFill="1"/>
    <xf numFmtId="0" fontId="57" fillId="0" borderId="0" xfId="20" applyFont="1" applyFill="1"/>
    <xf numFmtId="44" fontId="42" fillId="0" borderId="0" xfId="20" applyNumberFormat="1" applyFill="1" applyAlignment="1">
      <alignment wrapText="1"/>
    </xf>
    <xf numFmtId="0" fontId="0" fillId="4" borderId="0" xfId="20" applyFont="1" applyFill="1"/>
    <xf numFmtId="44" fontId="35" fillId="29" borderId="29" xfId="20" applyNumberFormat="1" applyFont="1" applyFill="1" applyBorder="1" applyAlignment="1">
      <alignment wrapText="1"/>
    </xf>
    <xf numFmtId="0" fontId="41" fillId="0" borderId="0" xfId="20" applyFont="1"/>
    <xf numFmtId="0" fontId="17" fillId="0" borderId="0" xfId="20" applyFont="1"/>
    <xf numFmtId="172" fontId="17" fillId="0" borderId="0" xfId="19" applyNumberFormat="1" applyFont="1" applyFill="1"/>
    <xf numFmtId="0" fontId="61" fillId="0" borderId="0" xfId="20" applyFont="1"/>
    <xf numFmtId="0" fontId="61" fillId="26" borderId="0" xfId="20" applyFont="1" applyFill="1"/>
    <xf numFmtId="42" fontId="35" fillId="4" borderId="0" xfId="19" applyNumberFormat="1" applyFont="1" applyFill="1"/>
    <xf numFmtId="8" fontId="11" fillId="0" borderId="17" xfId="0" applyNumberFormat="1" applyFont="1" applyBorder="1"/>
    <xf numFmtId="44" fontId="44" fillId="0" borderId="0" xfId="19" applyFont="1" applyFill="1"/>
    <xf numFmtId="172" fontId="0" fillId="0" borderId="0" xfId="20" applyNumberFormat="1" applyFont="1" applyFill="1"/>
    <xf numFmtId="0" fontId="44" fillId="0" borderId="0" xfId="20" applyFont="1" applyFill="1"/>
    <xf numFmtId="49" fontId="2" fillId="31" borderId="17" xfId="0" applyNumberFormat="1" applyFont="1" applyFill="1" applyBorder="1"/>
    <xf numFmtId="42" fontId="35" fillId="0" borderId="0" xfId="21" applyNumberFormat="1" applyFont="1" applyFill="1"/>
    <xf numFmtId="44" fontId="2" fillId="31" borderId="17" xfId="0" applyNumberFormat="1" applyFont="1" applyFill="1" applyBorder="1"/>
    <xf numFmtId="0" fontId="27" fillId="0" borderId="23" xfId="0" applyFont="1" applyBorder="1" applyAlignment="1">
      <alignment horizontal="left" vertical="center" wrapText="1"/>
    </xf>
    <xf numFmtId="0" fontId="27" fillId="0" borderId="0" xfId="0" applyFont="1" applyBorder="1" applyAlignment="1">
      <alignment horizontal="left" vertical="center" wrapText="1"/>
    </xf>
    <xf numFmtId="0" fontId="27" fillId="0" borderId="10" xfId="0" applyFont="1" applyBorder="1" applyAlignment="1">
      <alignment horizontal="center" vertical="center" wrapText="1"/>
    </xf>
    <xf numFmtId="0" fontId="27" fillId="0" borderId="1" xfId="0" applyFont="1" applyBorder="1" applyAlignment="1">
      <alignment horizontal="center" vertical="center" wrapText="1"/>
    </xf>
    <xf numFmtId="0" fontId="30" fillId="0" borderId="0" xfId="0" applyFont="1" applyBorder="1" applyAlignment="1">
      <alignment horizontal="center" vertical="center" wrapText="1"/>
    </xf>
    <xf numFmtId="0" fontId="9" fillId="0" borderId="0" xfId="0" applyFont="1" applyBorder="1" applyAlignment="1">
      <alignment horizontal="center" vertical="center" wrapText="1"/>
    </xf>
  </cellXfs>
  <cellStyles count="22">
    <cellStyle name="ALSTEC Currency" xfId="4"/>
    <cellStyle name="ALSTEC Detail Header" xfId="2"/>
    <cellStyle name="ALSTEC Normal" xfId="3"/>
    <cellStyle name="Currency" xfId="19" builtinId="4"/>
    <cellStyle name="Excel Built-in Currency [0]" xfId="21"/>
    <cellStyle name="Excel Built-in Normal" xfId="20"/>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1"/>
  </cellStyles>
  <dxfs count="0"/>
  <tableStyles count="0" defaultTableStyle="TableStyleMedium2" defaultPivotStyle="PivotStyleLight16"/>
  <colors>
    <mruColors>
      <color rgb="FFFFFF99"/>
      <color rgb="FFFF99CC"/>
      <color rgb="FFFFCCFF"/>
      <color rgb="FFFF66FF"/>
      <color rgb="FF33CC33"/>
      <color rgb="FFCD3BAE"/>
      <color rgb="FFFFE69F"/>
      <color rgb="FFE7A1D8"/>
      <color rgb="FF75436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zoomScale="42" zoomScaleNormal="42" zoomScaleSheetLayoutView="40" zoomScalePageLayoutView="42" workbookViewId="0">
      <selection activeCell="C38" sqref="C38"/>
    </sheetView>
  </sheetViews>
  <sheetFormatPr defaultColWidth="8.85546875" defaultRowHeight="21" x14ac:dyDescent="0.35"/>
  <cols>
    <col min="1" max="7" width="57.42578125" style="16" customWidth="1"/>
    <col min="8" max="16384" width="8.85546875" style="16"/>
  </cols>
  <sheetData>
    <row r="1" spans="1:6" ht="6.75" customHeight="1" x14ac:dyDescent="0.35"/>
    <row r="2" spans="1:6" ht="10.5" customHeight="1" x14ac:dyDescent="0.35"/>
    <row r="3" spans="1:6" ht="31.5" x14ac:dyDescent="0.5">
      <c r="A3" s="21"/>
      <c r="B3" s="370" t="s">
        <v>1224</v>
      </c>
      <c r="C3" s="364" t="s">
        <v>1177</v>
      </c>
      <c r="D3" s="364" t="s">
        <v>1452</v>
      </c>
      <c r="E3" s="365" t="s">
        <v>1541</v>
      </c>
      <c r="F3" s="365" t="s">
        <v>2334</v>
      </c>
    </row>
    <row r="4" spans="1:6" ht="31.5" x14ac:dyDescent="0.5">
      <c r="A4" s="17" t="s">
        <v>17</v>
      </c>
      <c r="B4" s="22">
        <v>13577.97</v>
      </c>
      <c r="C4" s="22">
        <v>13622.34</v>
      </c>
      <c r="D4" s="22">
        <v>14141.84</v>
      </c>
      <c r="E4" s="20">
        <v>14500</v>
      </c>
      <c r="F4" s="20">
        <v>14500</v>
      </c>
    </row>
    <row r="5" spans="1:6" ht="31.5" x14ac:dyDescent="0.5">
      <c r="A5" s="17" t="s">
        <v>18</v>
      </c>
      <c r="B5" s="21">
        <v>193.3</v>
      </c>
      <c r="C5" s="21">
        <v>218.5</v>
      </c>
      <c r="D5" s="21">
        <v>220</v>
      </c>
      <c r="E5" s="19">
        <v>221</v>
      </c>
      <c r="F5" s="19">
        <v>226.5</v>
      </c>
    </row>
    <row r="6" spans="1:6" ht="31.5" x14ac:dyDescent="0.5">
      <c r="A6" s="17" t="s">
        <v>19</v>
      </c>
      <c r="B6" s="22">
        <v>2624621.71</v>
      </c>
      <c r="C6" s="363">
        <v>2976482.11</v>
      </c>
      <c r="D6" s="363">
        <v>3111204.8</v>
      </c>
      <c r="E6" s="249">
        <v>3204500</v>
      </c>
      <c r="F6" s="249">
        <v>3284250</v>
      </c>
    </row>
    <row r="7" spans="1:6" ht="31.5" x14ac:dyDescent="0.5">
      <c r="A7" s="17"/>
      <c r="B7" s="22"/>
      <c r="C7" s="21"/>
      <c r="D7" s="21"/>
      <c r="E7" s="19"/>
      <c r="F7" s="19"/>
    </row>
    <row r="8" spans="1:6" ht="31.5" x14ac:dyDescent="0.5">
      <c r="A8" s="17" t="s">
        <v>20</v>
      </c>
      <c r="B8" s="22">
        <v>21543010</v>
      </c>
      <c r="C8" s="22">
        <v>20574471</v>
      </c>
      <c r="D8" s="22">
        <v>20712980</v>
      </c>
      <c r="E8" s="20">
        <v>20632619</v>
      </c>
      <c r="F8" s="20">
        <v>22937162</v>
      </c>
    </row>
    <row r="9" spans="1:6" ht="31.5" x14ac:dyDescent="0.5">
      <c r="A9" s="17" t="s">
        <v>21</v>
      </c>
      <c r="B9" s="23">
        <v>2.7E-2</v>
      </c>
      <c r="C9" s="21">
        <v>2.7E-2</v>
      </c>
      <c r="D9" s="21">
        <v>2.7E-2</v>
      </c>
      <c r="E9" s="19">
        <v>2.7E-2</v>
      </c>
      <c r="F9" s="19">
        <v>2.7E-2</v>
      </c>
    </row>
    <row r="10" spans="1:6" ht="63" x14ac:dyDescent="0.5">
      <c r="A10" s="17" t="s">
        <v>22</v>
      </c>
      <c r="B10" s="22">
        <v>581661.27</v>
      </c>
      <c r="C10" s="22">
        <v>555510.72</v>
      </c>
      <c r="D10" s="22">
        <v>559250.46</v>
      </c>
      <c r="E10" s="20">
        <v>542871.68000000005</v>
      </c>
      <c r="F10" s="20">
        <v>619303.37</v>
      </c>
    </row>
    <row r="11" spans="1:6" ht="31.5" x14ac:dyDescent="0.5">
      <c r="A11" s="17" t="s">
        <v>23</v>
      </c>
      <c r="B11" s="22">
        <v>116843.78</v>
      </c>
      <c r="C11" s="22">
        <v>125000</v>
      </c>
      <c r="D11" s="22">
        <v>90135.82</v>
      </c>
      <c r="E11" s="20">
        <v>91167.81</v>
      </c>
      <c r="F11" s="20">
        <v>91167.81</v>
      </c>
    </row>
    <row r="12" spans="1:6" ht="31.5" x14ac:dyDescent="0.5">
      <c r="A12" s="17"/>
      <c r="B12" s="22"/>
      <c r="C12" s="21"/>
      <c r="D12" s="21"/>
      <c r="E12" s="19"/>
      <c r="F12" s="19"/>
    </row>
    <row r="13" spans="1:6" ht="63" x14ac:dyDescent="0.5">
      <c r="A13" s="17" t="s">
        <v>24</v>
      </c>
      <c r="B13" s="22">
        <v>1926116.66</v>
      </c>
      <c r="C13" s="22">
        <v>2325092.14</v>
      </c>
      <c r="D13" s="22">
        <v>2360613.7200000002</v>
      </c>
      <c r="E13" s="20">
        <v>2570460.5099999998</v>
      </c>
      <c r="F13" s="20">
        <v>2573779</v>
      </c>
    </row>
    <row r="14" spans="1:6" ht="31.5" x14ac:dyDescent="0.5">
      <c r="A14" s="17"/>
      <c r="B14" s="22"/>
      <c r="C14" s="21"/>
      <c r="D14" s="21"/>
      <c r="E14" s="19"/>
      <c r="F14" s="19"/>
    </row>
    <row r="15" spans="1:6" ht="31.5" x14ac:dyDescent="0.5">
      <c r="A15" s="17" t="s">
        <v>25</v>
      </c>
      <c r="B15" s="22">
        <v>1926116.66</v>
      </c>
      <c r="C15" s="22">
        <v>2325092.14</v>
      </c>
      <c r="D15" s="22">
        <v>2360613.7200000002</v>
      </c>
      <c r="E15" s="20">
        <v>2570460.5099999998</v>
      </c>
      <c r="F15" s="20">
        <v>2573779</v>
      </c>
    </row>
    <row r="16" spans="1:6" ht="31.5" x14ac:dyDescent="0.5">
      <c r="A16" s="17" t="s">
        <v>26</v>
      </c>
      <c r="B16" s="22">
        <v>109000</v>
      </c>
      <c r="C16" s="22">
        <v>96885.18</v>
      </c>
      <c r="D16" s="22">
        <v>98555.76</v>
      </c>
      <c r="E16" s="20">
        <v>97592.29</v>
      </c>
      <c r="F16" s="20">
        <v>125000</v>
      </c>
    </row>
    <row r="17" spans="1:6" ht="31.5" x14ac:dyDescent="0.5">
      <c r="A17" s="17" t="s">
        <v>27</v>
      </c>
      <c r="B17" s="22">
        <v>1181283</v>
      </c>
      <c r="C17" s="22">
        <v>1110220.71</v>
      </c>
      <c r="D17" s="22">
        <v>1132195.73</v>
      </c>
      <c r="E17" s="20">
        <v>1161450</v>
      </c>
      <c r="F17" s="20">
        <v>1276000</v>
      </c>
    </row>
    <row r="18" spans="1:6" ht="31.5" x14ac:dyDescent="0.5">
      <c r="A18" s="17" t="s">
        <v>28</v>
      </c>
      <c r="B18" s="22">
        <v>44000</v>
      </c>
      <c r="C18" s="22">
        <v>36137.949999999997</v>
      </c>
      <c r="D18" s="22">
        <v>36465.629999999997</v>
      </c>
      <c r="E18" s="20">
        <v>36109.15</v>
      </c>
      <c r="F18" s="20">
        <v>48565</v>
      </c>
    </row>
    <row r="19" spans="1:6" ht="31.5" x14ac:dyDescent="0.5">
      <c r="A19" s="17" t="s">
        <v>29</v>
      </c>
      <c r="B19" s="22">
        <v>200000</v>
      </c>
      <c r="C19" s="22">
        <v>211665</v>
      </c>
      <c r="D19" s="22">
        <v>210000</v>
      </c>
      <c r="E19" s="20">
        <v>200000</v>
      </c>
      <c r="F19" s="20">
        <v>215000</v>
      </c>
    </row>
    <row r="20" spans="1:6" ht="31.5" x14ac:dyDescent="0.5">
      <c r="A20" s="17" t="s">
        <v>30</v>
      </c>
      <c r="B20" s="22">
        <v>1025283</v>
      </c>
      <c r="C20" s="22">
        <v>934693.66</v>
      </c>
      <c r="D20" s="22">
        <v>968661.36</v>
      </c>
      <c r="E20" s="20">
        <v>997559.15</v>
      </c>
      <c r="F20" s="20">
        <v>1109565</v>
      </c>
    </row>
    <row r="21" spans="1:6" ht="63" x14ac:dyDescent="0.5">
      <c r="A21" s="17" t="s">
        <v>31</v>
      </c>
      <c r="B21" s="21">
        <v>106.3</v>
      </c>
      <c r="C21" s="21">
        <v>137</v>
      </c>
      <c r="D21" s="21">
        <v>139.9</v>
      </c>
      <c r="E21" s="19">
        <v>140.9</v>
      </c>
      <c r="F21" s="19">
        <v>138.5</v>
      </c>
    </row>
    <row r="22" spans="1:6" ht="31.5" x14ac:dyDescent="0.5">
      <c r="A22" s="17" t="s">
        <v>32</v>
      </c>
      <c r="B22" s="21">
        <v>87</v>
      </c>
      <c r="C22" s="21">
        <v>81.5</v>
      </c>
      <c r="D22" s="21">
        <v>80.099999999999994</v>
      </c>
      <c r="E22" s="19">
        <v>80.099999999999994</v>
      </c>
      <c r="F22" s="19">
        <v>88</v>
      </c>
    </row>
    <row r="23" spans="1:6" ht="31.5" x14ac:dyDescent="0.5">
      <c r="A23" s="17" t="s">
        <v>10</v>
      </c>
      <c r="B23" s="22">
        <v>340285</v>
      </c>
      <c r="C23" s="22">
        <v>340285</v>
      </c>
      <c r="D23" s="22">
        <v>340285</v>
      </c>
      <c r="E23" s="20">
        <v>340285</v>
      </c>
      <c r="F23" s="20">
        <v>340285</v>
      </c>
    </row>
    <row r="24" spans="1:6" ht="31.5" x14ac:dyDescent="0.5">
      <c r="A24" s="17" t="s">
        <v>33</v>
      </c>
      <c r="B24" s="22">
        <v>53442</v>
      </c>
      <c r="C24" s="22">
        <v>53442</v>
      </c>
      <c r="D24" s="22">
        <v>53442</v>
      </c>
      <c r="E24" s="20">
        <v>53442</v>
      </c>
      <c r="F24" s="20">
        <v>53442</v>
      </c>
    </row>
    <row r="25" spans="1:6" ht="31.5" x14ac:dyDescent="0.5">
      <c r="A25" s="21"/>
      <c r="B25" s="21"/>
      <c r="C25" s="21"/>
      <c r="D25" s="24"/>
      <c r="E25" s="25"/>
      <c r="F25" s="21"/>
    </row>
    <row r="26" spans="1:6" ht="31.5" x14ac:dyDescent="0.5">
      <c r="A26" s="21"/>
      <c r="B26" s="21" t="s">
        <v>34</v>
      </c>
      <c r="C26" s="21"/>
      <c r="D26" s="21"/>
      <c r="E26" s="19"/>
      <c r="F26" s="21"/>
    </row>
    <row r="27" spans="1:6" ht="31.5" x14ac:dyDescent="0.5">
      <c r="A27" s="21"/>
      <c r="B27" s="21" t="s">
        <v>1528</v>
      </c>
      <c r="C27" s="21"/>
      <c r="D27" s="21"/>
      <c r="E27" s="19"/>
      <c r="F27" s="21"/>
    </row>
    <row r="28" spans="1:6" ht="31.5" x14ac:dyDescent="0.5">
      <c r="A28" s="21"/>
      <c r="B28" s="21" t="s">
        <v>35</v>
      </c>
      <c r="C28" s="21"/>
      <c r="D28" s="21"/>
      <c r="E28" s="19"/>
      <c r="F28" s="21"/>
    </row>
    <row r="29" spans="1:6" ht="31.5" x14ac:dyDescent="0.5">
      <c r="A29" s="21"/>
      <c r="B29" s="21"/>
      <c r="C29" s="21"/>
      <c r="D29" s="21"/>
      <c r="E29" s="19"/>
      <c r="F29" s="21"/>
    </row>
    <row r="30" spans="1:6" ht="63" x14ac:dyDescent="0.5">
      <c r="A30" s="17" t="s">
        <v>0</v>
      </c>
      <c r="B30" s="17" t="s">
        <v>476</v>
      </c>
      <c r="C30" s="17" t="s">
        <v>36</v>
      </c>
      <c r="D30" s="17" t="s">
        <v>37</v>
      </c>
      <c r="E30" s="17" t="s">
        <v>1223</v>
      </c>
    </row>
    <row r="31" spans="1:6" ht="31.5" x14ac:dyDescent="0.5">
      <c r="A31" s="21" t="s">
        <v>8</v>
      </c>
      <c r="B31" s="409">
        <f>'MCS Budget - Detailed'!N2</f>
        <v>1894251</v>
      </c>
      <c r="C31" s="409">
        <f>'MCS Budget - Detailed'!N848+'MCS Budget - Detailed'!N850</f>
        <v>1685867</v>
      </c>
      <c r="D31" s="409">
        <f>SUM('MCS Budget - Detailed'!N56:N61)</f>
        <v>-1653315</v>
      </c>
      <c r="E31" s="410">
        <f t="shared" ref="E31:E40" si="0">(C31-B31)</f>
        <v>-208384</v>
      </c>
      <c r="F31" s="18"/>
    </row>
    <row r="32" spans="1:6" ht="31.5" x14ac:dyDescent="0.5">
      <c r="A32" s="21" t="s">
        <v>9</v>
      </c>
      <c r="B32" s="409">
        <f>'MCS Budget - Detailed'!N855</f>
        <v>33587</v>
      </c>
      <c r="C32" s="409">
        <f>'MCS Budget - Detailed'!N917</f>
        <v>25013</v>
      </c>
      <c r="D32" s="409"/>
      <c r="E32" s="410">
        <f t="shared" si="0"/>
        <v>-8574</v>
      </c>
      <c r="F32" s="18"/>
    </row>
    <row r="33" spans="1:6" ht="31.5" x14ac:dyDescent="0.5">
      <c r="A33" s="21" t="s">
        <v>10</v>
      </c>
      <c r="B33" s="409">
        <f>'MCS Budget - Detailed'!N971+'MCS Budget - Detailed'!N972</f>
        <v>572422</v>
      </c>
      <c r="C33" s="409">
        <f>'MCS Budget - Detailed'!N986+'MCS Budget - Detailed'!N993</f>
        <v>581902</v>
      </c>
      <c r="D33" s="409"/>
      <c r="E33" s="410">
        <f t="shared" si="0"/>
        <v>9480</v>
      </c>
      <c r="F33" s="18"/>
    </row>
    <row r="34" spans="1:6" ht="31.5" x14ac:dyDescent="0.5">
      <c r="A34" s="21" t="s">
        <v>3</v>
      </c>
      <c r="B34" s="409">
        <f>'MCS Budget - Detailed'!N998</f>
        <v>0</v>
      </c>
      <c r="C34" s="409">
        <f>'MCS Budget - Detailed'!N1003</f>
        <v>0</v>
      </c>
      <c r="D34" s="409"/>
      <c r="E34" s="410">
        <f t="shared" si="0"/>
        <v>0</v>
      </c>
      <c r="F34" s="18"/>
    </row>
    <row r="35" spans="1:6" ht="31.5" x14ac:dyDescent="0.5">
      <c r="A35" s="21" t="s">
        <v>11</v>
      </c>
      <c r="B35" s="409">
        <f>'MCS Budget - Detailed'!N1006</f>
        <v>236826</v>
      </c>
      <c r="C35" s="409">
        <f>'MCS Budget - Detailed'!N1020+'MCS Budget - Detailed'!N1021</f>
        <v>255366</v>
      </c>
      <c r="D35" s="409"/>
      <c r="E35" s="410">
        <f t="shared" si="0"/>
        <v>18540</v>
      </c>
      <c r="F35" s="18"/>
    </row>
    <row r="36" spans="1:6" ht="31.5" x14ac:dyDescent="0.5">
      <c r="A36" s="21" t="s">
        <v>5</v>
      </c>
      <c r="B36" s="409">
        <f>'MCS Budget - Detailed'!N922</f>
        <v>21798</v>
      </c>
      <c r="C36" s="409">
        <f>'MCS Budget - Detailed'!N966</f>
        <v>20099</v>
      </c>
      <c r="D36" s="409"/>
      <c r="E36" s="410">
        <f t="shared" si="0"/>
        <v>-1699</v>
      </c>
      <c r="F36" s="18"/>
    </row>
    <row r="37" spans="1:6" ht="31.5" x14ac:dyDescent="0.5">
      <c r="A37" s="21" t="s">
        <v>12</v>
      </c>
      <c r="B37" s="409">
        <f>'MCS Budget - Detailed'!N1026</f>
        <v>22243</v>
      </c>
      <c r="C37" s="409">
        <v>0</v>
      </c>
      <c r="D37" s="409"/>
      <c r="E37" s="410">
        <f t="shared" si="0"/>
        <v>-22243</v>
      </c>
      <c r="F37" s="18"/>
    </row>
    <row r="38" spans="1:6" ht="31.5" x14ac:dyDescent="0.5">
      <c r="A38" s="21" t="s">
        <v>38</v>
      </c>
      <c r="B38" s="409">
        <f>'CCS Budget - Detailed'!H2</f>
        <v>826262</v>
      </c>
      <c r="C38" s="409">
        <f>'CCS Budget - Detailed'!H340</f>
        <v>826261</v>
      </c>
      <c r="D38" s="409">
        <f>-'CCS Budget - Detailed'!H34</f>
        <v>-168465</v>
      </c>
      <c r="E38" s="410">
        <f t="shared" si="0"/>
        <v>-1</v>
      </c>
      <c r="F38" s="18"/>
    </row>
    <row r="39" spans="1:6" ht="31.5" x14ac:dyDescent="0.5">
      <c r="A39" s="21" t="s">
        <v>39</v>
      </c>
      <c r="B39" s="409">
        <f>'CCS Budget - Detailed'!J349</f>
        <v>181947</v>
      </c>
      <c r="C39" s="409">
        <f>'CCS Budget - Detailed'!J366</f>
        <v>182267</v>
      </c>
      <c r="D39" s="409"/>
      <c r="E39" s="410">
        <f t="shared" si="0"/>
        <v>320</v>
      </c>
      <c r="F39" s="18"/>
    </row>
    <row r="40" spans="1:6" ht="31.5" x14ac:dyDescent="0.5">
      <c r="A40" s="21" t="s">
        <v>14</v>
      </c>
      <c r="B40" s="18">
        <f>'CCS Budget - Detailed'!J376</f>
        <v>19954</v>
      </c>
      <c r="C40" s="564">
        <f>'CCS Budget - Detailed'!J384</f>
        <v>20001</v>
      </c>
      <c r="D40" s="409"/>
      <c r="E40" s="410">
        <f t="shared" si="0"/>
        <v>47</v>
      </c>
      <c r="F40" s="18"/>
    </row>
  </sheetData>
  <pageMargins left="0.25" right="0.25" top="0.75" bottom="0.75" header="0.3" footer="0.3"/>
  <pageSetup scale="38" orientation="landscape" r:id="rId1"/>
  <headerFooter>
    <oddHeader xml:space="preserve">&amp;C&amp;"-,Bold"&amp;14 2019-20 Budget Comparisons
Moffat Consolidated School District #2
December 11, 2019&amp;"-,Regular"&amp;11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8"/>
  <sheetViews>
    <sheetView showGridLines="0" zoomScale="55" zoomScaleNormal="55" zoomScaleSheetLayoutView="25" zoomScalePageLayoutView="70" workbookViewId="0">
      <selection activeCell="G12" sqref="G12"/>
    </sheetView>
  </sheetViews>
  <sheetFormatPr defaultColWidth="8.85546875" defaultRowHeight="27" x14ac:dyDescent="0.35"/>
  <cols>
    <col min="1" max="1" width="60.140625" style="135" customWidth="1"/>
    <col min="2" max="2" width="51" style="126" customWidth="1"/>
    <col min="3" max="3" width="43" style="126" customWidth="1"/>
    <col min="4" max="4" width="40.85546875" style="126" hidden="1" customWidth="1"/>
    <col min="5" max="5" width="43" style="122" customWidth="1"/>
    <col min="6" max="16384" width="8.85546875" style="122"/>
  </cols>
  <sheetData>
    <row r="1" spans="1:5" ht="30.6" customHeight="1" x14ac:dyDescent="0.35">
      <c r="A1" s="573" t="s">
        <v>1529</v>
      </c>
      <c r="B1" s="573"/>
      <c r="C1" s="573"/>
    </row>
    <row r="2" spans="1:5" ht="97.9" customHeight="1" x14ac:dyDescent="0.35">
      <c r="A2" s="574"/>
      <c r="B2" s="574"/>
      <c r="C2" s="574"/>
    </row>
    <row r="3" spans="1:5" ht="30.6" customHeight="1" x14ac:dyDescent="0.4">
      <c r="A3" s="125" t="s">
        <v>0</v>
      </c>
      <c r="B3" s="242" t="s">
        <v>471</v>
      </c>
      <c r="C3" s="243" t="s">
        <v>1569</v>
      </c>
      <c r="D3" s="243" t="s">
        <v>617</v>
      </c>
      <c r="E3" s="243" t="s">
        <v>2447</v>
      </c>
    </row>
    <row r="4" spans="1:5" ht="27.75" x14ac:dyDescent="0.4">
      <c r="A4" s="127" t="s">
        <v>1</v>
      </c>
      <c r="B4" s="123" t="s">
        <v>472</v>
      </c>
      <c r="C4" s="250">
        <f>'MCS Budget - Detailed'!L853</f>
        <v>4359524</v>
      </c>
      <c r="D4" s="250">
        <v>3821698</v>
      </c>
      <c r="E4" s="250">
        <f>'MCS Budget - Detailed'!N853</f>
        <v>4700525</v>
      </c>
    </row>
    <row r="5" spans="1:5" ht="27.75" x14ac:dyDescent="0.4">
      <c r="A5" s="127"/>
      <c r="B5" s="128" t="s">
        <v>473</v>
      </c>
      <c r="C5" s="250">
        <f>'CCS Budget - Detailed'!G342</f>
        <v>1936443.75</v>
      </c>
      <c r="D5" s="250">
        <v>1881346</v>
      </c>
      <c r="E5" s="250">
        <f>'CCS Budget - Detailed'!H342</f>
        <v>2239734</v>
      </c>
    </row>
    <row r="6" spans="1:5" ht="27.75" x14ac:dyDescent="0.4">
      <c r="A6" s="127"/>
      <c r="B6" s="128"/>
      <c r="C6" s="250"/>
      <c r="D6" s="123"/>
      <c r="E6" s="250"/>
    </row>
    <row r="7" spans="1:5" ht="27.75" x14ac:dyDescent="0.4">
      <c r="A7" s="127" t="s">
        <v>474</v>
      </c>
      <c r="B7" s="128"/>
      <c r="C7" s="250">
        <f>'MCS Budget - Detailed'!L920</f>
        <v>188136</v>
      </c>
      <c r="D7" s="250">
        <v>168809</v>
      </c>
      <c r="E7" s="250">
        <f>'MCS Budget - Detailed'!N920</f>
        <v>201151</v>
      </c>
    </row>
    <row r="8" spans="1:5" ht="27.75" x14ac:dyDescent="0.4">
      <c r="A8" s="127" t="s">
        <v>475</v>
      </c>
      <c r="B8" s="123"/>
      <c r="C8" s="250">
        <f>'MCS Budget - Detailed'!L969</f>
        <v>174174</v>
      </c>
      <c r="D8" s="250">
        <v>183867</v>
      </c>
      <c r="E8" s="250">
        <f>'MCS Budget - Detailed'!N969</f>
        <v>173297</v>
      </c>
    </row>
    <row r="9" spans="1:5" ht="27.75" x14ac:dyDescent="0.4">
      <c r="A9" s="127"/>
      <c r="B9" s="123"/>
      <c r="C9" s="250"/>
      <c r="D9" s="123"/>
      <c r="E9" s="250"/>
    </row>
    <row r="10" spans="1:5" ht="27.75" x14ac:dyDescent="0.4">
      <c r="A10" s="127" t="s">
        <v>2</v>
      </c>
      <c r="B10" s="129" t="s">
        <v>2</v>
      </c>
      <c r="C10" s="250">
        <f>'MCS Budget - Detailed'!L996</f>
        <v>914573</v>
      </c>
      <c r="D10" s="250">
        <v>850230</v>
      </c>
      <c r="E10" s="250">
        <f>'MCS Budget - Detailed'!N996</f>
        <v>973199</v>
      </c>
    </row>
    <row r="11" spans="1:5" ht="27.75" x14ac:dyDescent="0.4">
      <c r="A11" s="127" t="s">
        <v>3</v>
      </c>
      <c r="B11" s="123" t="s">
        <v>3</v>
      </c>
      <c r="C11" s="412">
        <v>0</v>
      </c>
      <c r="D11" s="243">
        <v>0</v>
      </c>
      <c r="E11" s="412">
        <v>0</v>
      </c>
    </row>
    <row r="12" spans="1:5" ht="27.75" x14ac:dyDescent="0.4">
      <c r="A12" s="127" t="s">
        <v>4</v>
      </c>
      <c r="B12" s="128" t="s">
        <v>472</v>
      </c>
      <c r="C12" s="250">
        <f>'MCS Budget - Detailed'!L1024</f>
        <v>339720</v>
      </c>
      <c r="D12" s="250">
        <v>279265</v>
      </c>
      <c r="E12" s="250">
        <f>'MCS Budget - Detailed'!N1024</f>
        <v>340366</v>
      </c>
    </row>
    <row r="13" spans="1:5" ht="27.75" x14ac:dyDescent="0.4">
      <c r="A13" s="127"/>
      <c r="B13" s="130" t="s">
        <v>473</v>
      </c>
      <c r="C13" s="250">
        <f>'CCS Budget - Detailed'!I369</f>
        <v>212267</v>
      </c>
      <c r="D13" s="250">
        <v>151585</v>
      </c>
      <c r="E13" s="250">
        <f>'CCS Budget - Detailed'!J369</f>
        <v>350732</v>
      </c>
    </row>
    <row r="14" spans="1:5" ht="27.75" x14ac:dyDescent="0.4">
      <c r="A14" s="127"/>
      <c r="B14" s="123"/>
      <c r="C14" s="250"/>
      <c r="D14" s="123"/>
      <c r="E14" s="250"/>
    </row>
    <row r="15" spans="1:5" ht="27.75" x14ac:dyDescent="0.4">
      <c r="A15" s="127"/>
      <c r="B15" s="130"/>
      <c r="C15" s="250"/>
      <c r="D15" s="123"/>
      <c r="E15" s="250"/>
    </row>
    <row r="16" spans="1:5" ht="27.75" x14ac:dyDescent="0.4">
      <c r="A16" s="127"/>
      <c r="B16" s="123"/>
      <c r="C16" s="250"/>
      <c r="D16" s="123"/>
      <c r="E16" s="250"/>
    </row>
    <row r="17" spans="1:5" ht="27.75" x14ac:dyDescent="0.4">
      <c r="A17" s="127" t="s">
        <v>6</v>
      </c>
      <c r="B17" s="128" t="s">
        <v>472</v>
      </c>
      <c r="C17" s="250">
        <f>'MCS Budget - Detailed'!L1034</f>
        <v>100000</v>
      </c>
      <c r="D17" s="250">
        <v>120000</v>
      </c>
      <c r="E17" s="250">
        <f>'MCS Budget - Detailed'!N1034</f>
        <v>102243</v>
      </c>
    </row>
    <row r="18" spans="1:5" ht="27.75" x14ac:dyDescent="0.4">
      <c r="A18" s="127"/>
      <c r="B18" s="128" t="s">
        <v>473</v>
      </c>
      <c r="C18" s="250">
        <f>'CCS Budget - Detailed'!I386</f>
        <v>103187</v>
      </c>
      <c r="D18" s="250">
        <v>103723.8</v>
      </c>
      <c r="E18" s="250">
        <f>'CCS Budget - Detailed'!J386</f>
        <v>120001</v>
      </c>
    </row>
    <row r="19" spans="1:5" ht="27.75" x14ac:dyDescent="0.4">
      <c r="A19" s="127"/>
      <c r="B19" s="130"/>
      <c r="C19" s="250"/>
      <c r="D19" s="123"/>
      <c r="E19" s="250"/>
    </row>
    <row r="20" spans="1:5" ht="27.75" x14ac:dyDescent="0.4">
      <c r="A20" s="131"/>
      <c r="B20" s="132"/>
      <c r="C20" s="366"/>
      <c r="D20" s="345"/>
      <c r="E20" s="366"/>
    </row>
    <row r="21" spans="1:5" s="126" customFormat="1" ht="27.75" x14ac:dyDescent="0.4">
      <c r="A21" s="133" t="s">
        <v>7</v>
      </c>
      <c r="B21" s="134" t="s">
        <v>7</v>
      </c>
      <c r="C21" s="344">
        <f>SUM(C4:C18)</f>
        <v>8328024.75</v>
      </c>
      <c r="D21" s="344">
        <f>SUM(D4:D18)</f>
        <v>7560523.7999999998</v>
      </c>
      <c r="E21" s="344">
        <f>SUM(E4:E18)</f>
        <v>9201248</v>
      </c>
    </row>
    <row r="22" spans="1:5" ht="27.75" x14ac:dyDescent="0.4">
      <c r="A22" s="244"/>
      <c r="B22" s="245"/>
      <c r="C22" s="246"/>
    </row>
    <row r="23" spans="1:5" ht="55.5" customHeight="1" x14ac:dyDescent="0.4">
      <c r="A23" s="126"/>
      <c r="B23" s="136"/>
      <c r="C23" s="238"/>
    </row>
    <row r="24" spans="1:5" ht="5.25" customHeight="1" thickBot="1" x14ac:dyDescent="0.45">
      <c r="A24" s="126" t="s">
        <v>479</v>
      </c>
      <c r="C24" s="137"/>
    </row>
    <row r="25" spans="1:5" ht="32.25" customHeight="1" x14ac:dyDescent="0.4">
      <c r="A25" s="247" t="s">
        <v>15</v>
      </c>
      <c r="B25" s="248" t="s">
        <v>16</v>
      </c>
      <c r="C25" s="239"/>
    </row>
    <row r="26" spans="1:5" ht="27.75" x14ac:dyDescent="0.4">
      <c r="A26" s="126"/>
      <c r="C26" s="239"/>
    </row>
    <row r="27" spans="1:5" ht="27.75" x14ac:dyDescent="0.4">
      <c r="A27" s="126"/>
      <c r="C27" s="239"/>
    </row>
    <row r="28" spans="1:5" ht="166.5" customHeight="1" x14ac:dyDescent="0.35">
      <c r="A28" s="575" t="s">
        <v>1530</v>
      </c>
      <c r="B28" s="576"/>
      <c r="C28" s="576"/>
    </row>
    <row r="29" spans="1:5" ht="20.25" customHeight="1" x14ac:dyDescent="0.35">
      <c r="A29" s="241"/>
      <c r="B29" s="241"/>
      <c r="C29" s="241"/>
    </row>
    <row r="30" spans="1:5" ht="24" customHeight="1" x14ac:dyDescent="0.4">
      <c r="A30" s="138" t="s">
        <v>0</v>
      </c>
      <c r="B30" s="125" t="s">
        <v>478</v>
      </c>
    </row>
    <row r="31" spans="1:5" ht="33.6" customHeight="1" x14ac:dyDescent="0.4">
      <c r="A31" s="139" t="s">
        <v>8</v>
      </c>
      <c r="B31" s="411">
        <f>'Compar Page'!B31</f>
        <v>1894251</v>
      </c>
    </row>
    <row r="32" spans="1:5" ht="27.75" x14ac:dyDescent="0.4">
      <c r="A32" s="139" t="s">
        <v>9</v>
      </c>
      <c r="B32" s="411">
        <f>'Compar Page'!B32</f>
        <v>33587</v>
      </c>
    </row>
    <row r="33" spans="1:2" ht="27.75" x14ac:dyDescent="0.4">
      <c r="A33" s="139" t="s">
        <v>10</v>
      </c>
      <c r="B33" s="411">
        <f>'Compar Page'!B33</f>
        <v>572422</v>
      </c>
    </row>
    <row r="34" spans="1:2" ht="27.75" x14ac:dyDescent="0.4">
      <c r="A34" s="139" t="s">
        <v>11</v>
      </c>
      <c r="B34" s="411">
        <f>'Compar Page'!B35</f>
        <v>236826</v>
      </c>
    </row>
    <row r="35" spans="1:2" ht="27.75" x14ac:dyDescent="0.4">
      <c r="A35" s="139" t="s">
        <v>5</v>
      </c>
      <c r="B35" s="411">
        <f>'Compar Page'!B36</f>
        <v>21798</v>
      </c>
    </row>
    <row r="36" spans="1:2" ht="27.75" x14ac:dyDescent="0.4">
      <c r="A36" s="139" t="s">
        <v>12</v>
      </c>
      <c r="B36" s="411">
        <f>'Compar Page'!B37</f>
        <v>22243</v>
      </c>
    </row>
    <row r="37" spans="1:2" ht="27.75" x14ac:dyDescent="0.4">
      <c r="A37" s="139" t="s">
        <v>13</v>
      </c>
      <c r="B37" s="411">
        <f>'CCS Budget - Detailed'!H2</f>
        <v>826262</v>
      </c>
    </row>
    <row r="38" spans="1:2" ht="27.75" x14ac:dyDescent="0.4">
      <c r="A38" s="139" t="s">
        <v>39</v>
      </c>
      <c r="B38" s="411">
        <f>'CCS Budget - Detailed'!J349</f>
        <v>181947</v>
      </c>
    </row>
    <row r="39" spans="1:2" ht="27.75" x14ac:dyDescent="0.4">
      <c r="A39" s="139" t="s">
        <v>14</v>
      </c>
      <c r="B39" s="411">
        <f>'CCS Budget - Detailed'!J376</f>
        <v>19954</v>
      </c>
    </row>
    <row r="40" spans="1:2" ht="27.75" x14ac:dyDescent="0.4">
      <c r="A40" s="139" t="s">
        <v>3</v>
      </c>
      <c r="B40" s="411">
        <f>'Compar Page'!B34</f>
        <v>0</v>
      </c>
    </row>
    <row r="41" spans="1:2" ht="27.75" x14ac:dyDescent="0.4">
      <c r="A41" s="140"/>
      <c r="B41" s="124"/>
    </row>
    <row r="42" spans="1:2" x14ac:dyDescent="0.35">
      <c r="A42" s="571" t="s">
        <v>2448</v>
      </c>
      <c r="B42" s="571"/>
    </row>
    <row r="43" spans="1:2" ht="21" customHeight="1" x14ac:dyDescent="0.35">
      <c r="A43" s="572"/>
      <c r="B43" s="572"/>
    </row>
    <row r="44" spans="1:2" ht="33.75" customHeight="1" x14ac:dyDescent="0.35">
      <c r="A44" s="572"/>
      <c r="B44" s="572"/>
    </row>
    <row r="45" spans="1:2" ht="54" customHeight="1" thickBot="1" x14ac:dyDescent="0.4">
      <c r="A45" s="240"/>
      <c r="B45" s="240"/>
    </row>
    <row r="46" spans="1:2" ht="36" customHeight="1" x14ac:dyDescent="0.4">
      <c r="A46" s="247" t="s">
        <v>15</v>
      </c>
      <c r="B46" s="248" t="s">
        <v>16</v>
      </c>
    </row>
    <row r="47" spans="1:2" x14ac:dyDescent="0.35">
      <c r="A47" s="126"/>
    </row>
    <row r="48" spans="1:2" x14ac:dyDescent="0.35">
      <c r="A48" s="126"/>
    </row>
  </sheetData>
  <mergeCells count="3">
    <mergeCell ref="A42:B44"/>
    <mergeCell ref="A1:C2"/>
    <mergeCell ref="A28:C28"/>
  </mergeCells>
  <pageMargins left="0.7" right="0.7" top="0.75" bottom="0.75" header="0.3" footer="0.3"/>
  <pageSetup scale="46" orientation="portrait" r:id="rId1"/>
  <headerFooter>
    <oddHeader xml:space="preserve">&amp;C&amp;"-,Bold"&amp;14 2019-2020 Budget
Resolutions
Moffat Consolidated School District No 2
December 11, 2019&amp;"-,Regular"&amp;11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37"/>
  <sheetViews>
    <sheetView zoomScale="60" zoomScaleNormal="60" zoomScaleSheetLayoutView="40" zoomScalePageLayoutView="55" workbookViewId="0">
      <selection activeCell="H884" sqref="H884"/>
    </sheetView>
  </sheetViews>
  <sheetFormatPr defaultColWidth="8.85546875" defaultRowHeight="26.25" outlineLevelRow="6" x14ac:dyDescent="0.4"/>
  <cols>
    <col min="1" max="1" width="8.85546875" style="5" customWidth="1"/>
    <col min="2" max="2" width="6.140625" style="5" customWidth="1"/>
    <col min="3" max="3" width="5.42578125" style="5" customWidth="1"/>
    <col min="4" max="4" width="7" style="5" customWidth="1"/>
    <col min="5" max="5" width="6.85546875" style="5" customWidth="1"/>
    <col min="6" max="6" width="6.28515625" style="5" customWidth="1"/>
    <col min="7" max="7" width="10.85546875" style="26" customWidth="1"/>
    <col min="8" max="8" width="78.28515625" style="26" customWidth="1"/>
    <col min="9" max="9" width="33.42578125" style="26" customWidth="1"/>
    <col min="10" max="10" width="34.140625" style="26" customWidth="1"/>
    <col min="11" max="11" width="31.7109375" style="27" customWidth="1"/>
    <col min="12" max="12" width="31" style="28" customWidth="1"/>
    <col min="13" max="13" width="31.7109375" style="26" customWidth="1"/>
    <col min="14" max="14" width="31.28515625" style="29" customWidth="1"/>
    <col min="15" max="15" width="8.85546875" style="29" hidden="1" customWidth="1"/>
    <col min="16" max="16" width="8.85546875" style="29"/>
    <col min="17" max="17" width="22.28515625" style="29" bestFit="1" customWidth="1"/>
    <col min="18" max="16384" width="8.85546875" style="29"/>
  </cols>
  <sheetData>
    <row r="1" spans="1:14" s="30" customFormat="1" ht="96" customHeight="1" thickBot="1" x14ac:dyDescent="0.45">
      <c r="A1" s="223" t="s">
        <v>470</v>
      </c>
      <c r="B1" s="224" t="s">
        <v>469</v>
      </c>
      <c r="C1" s="224"/>
      <c r="D1" s="224"/>
      <c r="E1" s="224"/>
      <c r="F1" s="224"/>
      <c r="G1" s="224"/>
      <c r="H1" s="225" t="s">
        <v>64</v>
      </c>
      <c r="I1" s="225" t="s">
        <v>1254</v>
      </c>
      <c r="J1" s="225" t="s">
        <v>2272</v>
      </c>
      <c r="K1" s="226" t="s">
        <v>1443</v>
      </c>
      <c r="L1" s="227" t="s">
        <v>2271</v>
      </c>
      <c r="M1" s="450" t="s">
        <v>2270</v>
      </c>
      <c r="N1" s="413" t="s">
        <v>1444</v>
      </c>
    </row>
    <row r="2" spans="1:14" outlineLevel="2" x14ac:dyDescent="0.4">
      <c r="A2" s="66" t="s">
        <v>40</v>
      </c>
      <c r="B2" s="3">
        <v>0</v>
      </c>
      <c r="C2" s="3">
        <v>0</v>
      </c>
      <c r="D2" s="3">
        <v>0</v>
      </c>
      <c r="E2" s="3">
        <v>1</v>
      </c>
      <c r="F2" s="3">
        <v>0</v>
      </c>
      <c r="G2" s="3">
        <v>0</v>
      </c>
      <c r="H2" s="31" t="s">
        <v>41</v>
      </c>
      <c r="I2" s="32">
        <v>0</v>
      </c>
      <c r="J2" s="32">
        <v>0</v>
      </c>
      <c r="K2" s="346">
        <v>1899840</v>
      </c>
      <c r="L2" s="346">
        <v>1906350</v>
      </c>
      <c r="M2" s="451">
        <f>N2-K2</f>
        <v>-5589</v>
      </c>
      <c r="N2" s="414">
        <v>1894251</v>
      </c>
    </row>
    <row r="3" spans="1:14" outlineLevel="2" x14ac:dyDescent="0.4">
      <c r="A3" s="66" t="s">
        <v>40</v>
      </c>
      <c r="B3" s="3">
        <v>0</v>
      </c>
      <c r="C3" s="3">
        <v>0</v>
      </c>
      <c r="D3" s="3">
        <v>0</v>
      </c>
      <c r="E3" s="3">
        <v>1</v>
      </c>
      <c r="F3" s="3">
        <v>0</v>
      </c>
      <c r="G3" s="3">
        <v>0</v>
      </c>
      <c r="H3" s="31" t="s">
        <v>458</v>
      </c>
      <c r="I3" s="32">
        <v>1679912</v>
      </c>
      <c r="J3" s="32">
        <v>1899840</v>
      </c>
      <c r="K3" s="346" t="s">
        <v>402</v>
      </c>
      <c r="L3" s="346">
        <v>0</v>
      </c>
      <c r="M3" s="451"/>
      <c r="N3" s="414" t="s">
        <v>402</v>
      </c>
    </row>
    <row r="4" spans="1:14" outlineLevel="2" x14ac:dyDescent="0.4">
      <c r="A4" s="66" t="s">
        <v>40</v>
      </c>
      <c r="B4" s="3">
        <v>0</v>
      </c>
      <c r="C4" s="3">
        <v>0</v>
      </c>
      <c r="D4" s="3">
        <v>0</v>
      </c>
      <c r="E4" s="3">
        <v>1110</v>
      </c>
      <c r="F4" s="3">
        <v>0</v>
      </c>
      <c r="G4" s="3">
        <v>0</v>
      </c>
      <c r="H4" s="31" t="s">
        <v>42</v>
      </c>
      <c r="I4" s="32">
        <v>548956</v>
      </c>
      <c r="J4" s="32">
        <v>557373</v>
      </c>
      <c r="K4" s="348">
        <v>540000</v>
      </c>
      <c r="L4" s="346">
        <v>542872</v>
      </c>
      <c r="M4" s="451">
        <f>N4-K4</f>
        <v>70000</v>
      </c>
      <c r="N4" s="415">
        <v>610000</v>
      </c>
    </row>
    <row r="5" spans="1:14" outlineLevel="2" x14ac:dyDescent="0.4">
      <c r="A5" s="66" t="s">
        <v>40</v>
      </c>
      <c r="B5" s="3">
        <v>0</v>
      </c>
      <c r="C5" s="3">
        <v>0</v>
      </c>
      <c r="D5" s="3">
        <v>0</v>
      </c>
      <c r="E5" s="3">
        <v>1120</v>
      </c>
      <c r="F5" s="3">
        <v>0</v>
      </c>
      <c r="G5" s="3">
        <v>0</v>
      </c>
      <c r="H5" s="31" t="s">
        <v>43</v>
      </c>
      <c r="I5" s="32">
        <v>176069</v>
      </c>
      <c r="J5" s="32">
        <v>184123</v>
      </c>
      <c r="K5" s="348">
        <v>150000</v>
      </c>
      <c r="L5" s="346">
        <v>146000</v>
      </c>
      <c r="M5" s="451">
        <f t="shared" ref="M5:M60" si="0">N5-K5</f>
        <v>0</v>
      </c>
      <c r="N5" s="415">
        <v>150000</v>
      </c>
    </row>
    <row r="6" spans="1:14" outlineLevel="2" x14ac:dyDescent="0.4">
      <c r="A6" s="66" t="s">
        <v>40</v>
      </c>
      <c r="B6" s="3">
        <v>0</v>
      </c>
      <c r="C6" s="3">
        <v>0</v>
      </c>
      <c r="D6" s="3">
        <v>0</v>
      </c>
      <c r="E6" s="3">
        <v>1143</v>
      </c>
      <c r="F6" s="3">
        <v>0</v>
      </c>
      <c r="G6" s="3">
        <v>0</v>
      </c>
      <c r="H6" s="31" t="s">
        <v>1251</v>
      </c>
      <c r="I6" s="32">
        <v>9122</v>
      </c>
      <c r="J6" s="32">
        <v>9156</v>
      </c>
      <c r="K6" s="346">
        <v>5000</v>
      </c>
      <c r="L6" s="346">
        <v>8000</v>
      </c>
      <c r="M6" s="451">
        <f t="shared" si="0"/>
        <v>0</v>
      </c>
      <c r="N6" s="414">
        <v>5000</v>
      </c>
    </row>
    <row r="7" spans="1:14" outlineLevel="2" x14ac:dyDescent="0.4">
      <c r="A7" s="66" t="s">
        <v>40</v>
      </c>
      <c r="B7" s="3">
        <v>0</v>
      </c>
      <c r="C7" s="3">
        <v>0</v>
      </c>
      <c r="D7" s="3">
        <v>0</v>
      </c>
      <c r="E7" s="3">
        <v>1190</v>
      </c>
      <c r="F7" s="3">
        <v>0</v>
      </c>
      <c r="G7" s="3">
        <v>0</v>
      </c>
      <c r="H7" s="31" t="s">
        <v>44</v>
      </c>
      <c r="I7" s="32">
        <v>92246</v>
      </c>
      <c r="J7" s="32">
        <v>96735</v>
      </c>
      <c r="K7" s="346">
        <v>98550</v>
      </c>
      <c r="L7" s="346">
        <v>97592</v>
      </c>
      <c r="M7" s="451">
        <f t="shared" si="0"/>
        <v>26450</v>
      </c>
      <c r="N7" s="414">
        <v>125000</v>
      </c>
    </row>
    <row r="8" spans="1:14" outlineLevel="2" x14ac:dyDescent="0.4">
      <c r="A8" s="66" t="s">
        <v>40</v>
      </c>
      <c r="B8" s="3">
        <v>0</v>
      </c>
      <c r="C8" s="3">
        <v>0</v>
      </c>
      <c r="D8" s="3">
        <v>0</v>
      </c>
      <c r="E8" s="3" t="s">
        <v>1303</v>
      </c>
      <c r="F8" s="3">
        <v>0</v>
      </c>
      <c r="G8" s="3">
        <v>0</v>
      </c>
      <c r="H8" s="31" t="s">
        <v>1304</v>
      </c>
      <c r="I8" s="32">
        <v>0</v>
      </c>
      <c r="J8" s="32">
        <v>2775</v>
      </c>
      <c r="K8" s="346">
        <v>2099</v>
      </c>
      <c r="L8" s="346">
        <v>0</v>
      </c>
      <c r="M8" s="451">
        <f t="shared" si="0"/>
        <v>-2099</v>
      </c>
      <c r="N8" s="414">
        <v>0</v>
      </c>
    </row>
    <row r="9" spans="1:14" outlineLevel="2" x14ac:dyDescent="0.4">
      <c r="A9" s="66" t="s">
        <v>40</v>
      </c>
      <c r="B9" s="3">
        <v>0</v>
      </c>
      <c r="C9" s="3">
        <v>0</v>
      </c>
      <c r="D9" s="3">
        <v>0</v>
      </c>
      <c r="E9" s="3" t="s">
        <v>2345</v>
      </c>
      <c r="F9" s="3">
        <v>0</v>
      </c>
      <c r="G9" s="3">
        <v>0</v>
      </c>
      <c r="H9" s="31" t="s">
        <v>2346</v>
      </c>
      <c r="I9" s="32">
        <v>0</v>
      </c>
      <c r="J9" s="32">
        <v>0</v>
      </c>
      <c r="K9" s="346">
        <v>0</v>
      </c>
      <c r="L9" s="346">
        <v>0</v>
      </c>
      <c r="M9" s="451">
        <f t="shared" ref="M9" si="1">N9-K9</f>
        <v>30</v>
      </c>
      <c r="N9" s="414">
        <v>30</v>
      </c>
    </row>
    <row r="10" spans="1:14" outlineLevel="2" x14ac:dyDescent="0.4">
      <c r="A10" s="66" t="s">
        <v>40</v>
      </c>
      <c r="B10" s="3">
        <v>0</v>
      </c>
      <c r="C10" s="3">
        <v>0</v>
      </c>
      <c r="D10" s="3">
        <v>0</v>
      </c>
      <c r="E10" s="3">
        <v>1500</v>
      </c>
      <c r="F10" s="3">
        <v>0</v>
      </c>
      <c r="G10" s="3">
        <v>0</v>
      </c>
      <c r="H10" s="31" t="s">
        <v>45</v>
      </c>
      <c r="I10" s="32">
        <v>153</v>
      </c>
      <c r="J10" s="32">
        <v>227</v>
      </c>
      <c r="K10" s="346">
        <v>150</v>
      </c>
      <c r="L10" s="346">
        <v>200</v>
      </c>
      <c r="M10" s="451">
        <f t="shared" si="0"/>
        <v>50</v>
      </c>
      <c r="N10" s="414">
        <v>200</v>
      </c>
    </row>
    <row r="11" spans="1:14" outlineLevel="2" x14ac:dyDescent="0.4">
      <c r="A11" s="66" t="s">
        <v>40</v>
      </c>
      <c r="B11" s="3">
        <v>0</v>
      </c>
      <c r="C11" s="3">
        <v>0</v>
      </c>
      <c r="D11" s="3">
        <v>0</v>
      </c>
      <c r="E11" s="3">
        <v>1501</v>
      </c>
      <c r="F11" s="3">
        <v>0</v>
      </c>
      <c r="G11" s="3">
        <v>0</v>
      </c>
      <c r="H11" s="31" t="s">
        <v>598</v>
      </c>
      <c r="I11" s="32">
        <v>25689</v>
      </c>
      <c r="J11" s="32">
        <v>50094</v>
      </c>
      <c r="K11" s="346">
        <v>25000</v>
      </c>
      <c r="L11" s="346">
        <v>30000</v>
      </c>
      <c r="M11" s="451">
        <f t="shared" si="0"/>
        <v>5000</v>
      </c>
      <c r="N11" s="414">
        <v>30000</v>
      </c>
    </row>
    <row r="12" spans="1:14" outlineLevel="2" x14ac:dyDescent="0.4">
      <c r="A12" s="66" t="s">
        <v>40</v>
      </c>
      <c r="B12" s="3">
        <v>0</v>
      </c>
      <c r="C12" s="3">
        <v>0</v>
      </c>
      <c r="D12" s="3">
        <v>0</v>
      </c>
      <c r="E12" s="3" t="s">
        <v>594</v>
      </c>
      <c r="F12" s="3">
        <v>0</v>
      </c>
      <c r="G12" s="3">
        <v>0</v>
      </c>
      <c r="H12" s="31" t="s">
        <v>599</v>
      </c>
      <c r="I12" s="32">
        <v>211665</v>
      </c>
      <c r="J12" s="32">
        <v>208314</v>
      </c>
      <c r="K12" s="348">
        <v>210000</v>
      </c>
      <c r="L12" s="346">
        <v>200000</v>
      </c>
      <c r="M12" s="451">
        <f t="shared" si="0"/>
        <v>5000</v>
      </c>
      <c r="N12" s="415">
        <v>215000</v>
      </c>
    </row>
    <row r="13" spans="1:14" outlineLevel="2" x14ac:dyDescent="0.4">
      <c r="A13" s="66" t="s">
        <v>40</v>
      </c>
      <c r="B13" s="3">
        <v>0</v>
      </c>
      <c r="C13" s="3">
        <v>0</v>
      </c>
      <c r="D13" s="3">
        <v>0</v>
      </c>
      <c r="E13" s="3">
        <v>1900</v>
      </c>
      <c r="F13" s="3">
        <v>0</v>
      </c>
      <c r="G13" s="3">
        <v>0</v>
      </c>
      <c r="H13" s="31" t="s">
        <v>46</v>
      </c>
      <c r="I13" s="32">
        <v>24727</v>
      </c>
      <c r="J13" s="32">
        <v>14946</v>
      </c>
      <c r="K13" s="346">
        <v>25000</v>
      </c>
      <c r="L13" s="346">
        <v>20000</v>
      </c>
      <c r="M13" s="451">
        <f t="shared" si="0"/>
        <v>-5000</v>
      </c>
      <c r="N13" s="414">
        <v>20000</v>
      </c>
    </row>
    <row r="14" spans="1:14" outlineLevel="2" x14ac:dyDescent="0.4">
      <c r="A14" s="66" t="s">
        <v>40</v>
      </c>
      <c r="B14" s="3" t="s">
        <v>448</v>
      </c>
      <c r="C14" s="3" t="s">
        <v>448</v>
      </c>
      <c r="D14" s="3" t="s">
        <v>448</v>
      </c>
      <c r="E14" s="3" t="s">
        <v>436</v>
      </c>
      <c r="F14" s="3" t="s">
        <v>448</v>
      </c>
      <c r="G14" s="3" t="s">
        <v>618</v>
      </c>
      <c r="H14" s="31" t="s">
        <v>1377</v>
      </c>
      <c r="I14" s="32">
        <v>1703</v>
      </c>
      <c r="J14" s="32">
        <v>2297</v>
      </c>
      <c r="K14" s="348">
        <v>2297</v>
      </c>
      <c r="L14" s="346">
        <v>0</v>
      </c>
      <c r="M14" s="451">
        <f t="shared" si="0"/>
        <v>-2297</v>
      </c>
      <c r="N14" s="415">
        <v>0</v>
      </c>
    </row>
    <row r="15" spans="1:14" outlineLevel="2" x14ac:dyDescent="0.4">
      <c r="A15" s="66" t="s">
        <v>40</v>
      </c>
      <c r="B15" s="3" t="s">
        <v>448</v>
      </c>
      <c r="C15" s="3" t="s">
        <v>448</v>
      </c>
      <c r="D15" s="3" t="s">
        <v>448</v>
      </c>
      <c r="E15" s="3" t="s">
        <v>436</v>
      </c>
      <c r="F15" s="3" t="s">
        <v>448</v>
      </c>
      <c r="G15" s="3" t="s">
        <v>1221</v>
      </c>
      <c r="H15" s="31" t="s">
        <v>619</v>
      </c>
      <c r="I15" s="32">
        <v>3896</v>
      </c>
      <c r="J15" s="32">
        <v>0</v>
      </c>
      <c r="K15" s="348">
        <v>0</v>
      </c>
      <c r="L15" s="346">
        <v>0</v>
      </c>
      <c r="M15" s="451">
        <f t="shared" si="0"/>
        <v>0</v>
      </c>
      <c r="N15" s="415">
        <v>0</v>
      </c>
    </row>
    <row r="16" spans="1:14" outlineLevel="2" x14ac:dyDescent="0.4">
      <c r="A16" s="66" t="s">
        <v>40</v>
      </c>
      <c r="B16" s="3" t="s">
        <v>448</v>
      </c>
      <c r="C16" s="3" t="s">
        <v>448</v>
      </c>
      <c r="D16" s="3" t="s">
        <v>448</v>
      </c>
      <c r="E16" s="3" t="s">
        <v>436</v>
      </c>
      <c r="F16" s="3" t="s">
        <v>448</v>
      </c>
      <c r="G16" s="3" t="s">
        <v>1256</v>
      </c>
      <c r="H16" s="31" t="s">
        <v>1376</v>
      </c>
      <c r="I16" s="32">
        <v>105</v>
      </c>
      <c r="J16" s="32">
        <v>2395</v>
      </c>
      <c r="K16" s="348">
        <v>2395</v>
      </c>
      <c r="L16" s="346">
        <v>0</v>
      </c>
      <c r="M16" s="451">
        <f t="shared" si="0"/>
        <v>-2395</v>
      </c>
      <c r="N16" s="415">
        <v>0</v>
      </c>
    </row>
    <row r="17" spans="1:18" outlineLevel="2" x14ac:dyDescent="0.4">
      <c r="A17" s="66" t="s">
        <v>40</v>
      </c>
      <c r="B17" s="3" t="s">
        <v>448</v>
      </c>
      <c r="C17" s="3" t="s">
        <v>448</v>
      </c>
      <c r="D17" s="3" t="s">
        <v>448</v>
      </c>
      <c r="E17" s="3" t="s">
        <v>436</v>
      </c>
      <c r="F17" s="3" t="s">
        <v>448</v>
      </c>
      <c r="G17" s="3" t="s">
        <v>1257</v>
      </c>
      <c r="H17" s="31" t="s">
        <v>1375</v>
      </c>
      <c r="I17" s="32">
        <v>0</v>
      </c>
      <c r="J17" s="32">
        <v>1500</v>
      </c>
      <c r="K17" s="348">
        <v>1500</v>
      </c>
      <c r="L17" s="346">
        <v>0</v>
      </c>
      <c r="M17" s="451">
        <f t="shared" si="0"/>
        <v>2850</v>
      </c>
      <c r="N17" s="415">
        <v>4350</v>
      </c>
    </row>
    <row r="18" spans="1:18" outlineLevel="2" x14ac:dyDescent="0.4">
      <c r="A18" s="66" t="s">
        <v>40</v>
      </c>
      <c r="B18" s="3" t="s">
        <v>448</v>
      </c>
      <c r="C18" s="3" t="s">
        <v>448</v>
      </c>
      <c r="D18" s="3" t="s">
        <v>448</v>
      </c>
      <c r="E18" s="3" t="s">
        <v>436</v>
      </c>
      <c r="F18" s="3" t="s">
        <v>448</v>
      </c>
      <c r="G18" s="3" t="s">
        <v>1258</v>
      </c>
      <c r="H18" s="31" t="s">
        <v>1374</v>
      </c>
      <c r="I18" s="32">
        <v>0</v>
      </c>
      <c r="J18" s="32">
        <v>4000</v>
      </c>
      <c r="K18" s="348">
        <v>4000</v>
      </c>
      <c r="L18" s="346">
        <v>0</v>
      </c>
      <c r="M18" s="451">
        <f t="shared" si="0"/>
        <v>-3000</v>
      </c>
      <c r="N18" s="415">
        <v>1000</v>
      </c>
      <c r="R18" s="395"/>
    </row>
    <row r="19" spans="1:18" outlineLevel="2" x14ac:dyDescent="0.4">
      <c r="A19" s="66" t="s">
        <v>40</v>
      </c>
      <c r="B19" s="3" t="s">
        <v>448</v>
      </c>
      <c r="C19" s="3" t="s">
        <v>448</v>
      </c>
      <c r="D19" s="3" t="s">
        <v>448</v>
      </c>
      <c r="E19" s="3" t="s">
        <v>436</v>
      </c>
      <c r="F19" s="3" t="s">
        <v>448</v>
      </c>
      <c r="G19" s="3" t="s">
        <v>1448</v>
      </c>
      <c r="H19" s="31" t="s">
        <v>1450</v>
      </c>
      <c r="I19" s="32">
        <v>0</v>
      </c>
      <c r="J19" s="32">
        <v>338</v>
      </c>
      <c r="K19" s="348">
        <v>0</v>
      </c>
      <c r="L19" s="346">
        <v>4662</v>
      </c>
      <c r="M19" s="451">
        <f t="shared" si="0"/>
        <v>4662</v>
      </c>
      <c r="N19" s="415">
        <v>4662</v>
      </c>
    </row>
    <row r="20" spans="1:18" outlineLevel="2" x14ac:dyDescent="0.4">
      <c r="A20" s="66" t="s">
        <v>40</v>
      </c>
      <c r="B20" s="3" t="s">
        <v>448</v>
      </c>
      <c r="C20" s="3" t="s">
        <v>448</v>
      </c>
      <c r="D20" s="3" t="s">
        <v>448</v>
      </c>
      <c r="E20" s="3" t="s">
        <v>436</v>
      </c>
      <c r="F20" s="3" t="s">
        <v>448</v>
      </c>
      <c r="G20" s="3" t="s">
        <v>1449</v>
      </c>
      <c r="H20" s="31" t="s">
        <v>1451</v>
      </c>
      <c r="I20" s="32">
        <v>0</v>
      </c>
      <c r="J20" s="32">
        <v>0</v>
      </c>
      <c r="K20" s="348">
        <v>0</v>
      </c>
      <c r="L20" s="346">
        <v>4800</v>
      </c>
      <c r="M20" s="451">
        <f t="shared" si="0"/>
        <v>4800</v>
      </c>
      <c r="N20" s="415">
        <v>4800</v>
      </c>
    </row>
    <row r="21" spans="1:18" outlineLevel="2" x14ac:dyDescent="0.4">
      <c r="A21" s="66" t="s">
        <v>40</v>
      </c>
      <c r="B21" s="3" t="s">
        <v>448</v>
      </c>
      <c r="C21" s="3" t="s">
        <v>448</v>
      </c>
      <c r="D21" s="3" t="s">
        <v>448</v>
      </c>
      <c r="E21" s="3" t="s">
        <v>436</v>
      </c>
      <c r="F21" s="3" t="s">
        <v>448</v>
      </c>
      <c r="G21" s="3" t="s">
        <v>2351</v>
      </c>
      <c r="H21" s="31" t="s">
        <v>2352</v>
      </c>
      <c r="I21" s="32">
        <v>0</v>
      </c>
      <c r="J21" s="32">
        <v>0</v>
      </c>
      <c r="K21" s="348">
        <v>0</v>
      </c>
      <c r="L21" s="346">
        <v>0</v>
      </c>
      <c r="M21" s="451">
        <f t="shared" ref="M21" si="2">N21-K21</f>
        <v>4290</v>
      </c>
      <c r="N21" s="415">
        <v>4290</v>
      </c>
    </row>
    <row r="22" spans="1:18" outlineLevel="2" x14ac:dyDescent="0.4">
      <c r="A22" s="66" t="s">
        <v>40</v>
      </c>
      <c r="B22" s="3" t="s">
        <v>448</v>
      </c>
      <c r="C22" s="3" t="s">
        <v>448</v>
      </c>
      <c r="D22" s="3" t="s">
        <v>448</v>
      </c>
      <c r="E22" s="3" t="s">
        <v>436</v>
      </c>
      <c r="F22" s="3" t="s">
        <v>448</v>
      </c>
      <c r="G22" s="3" t="s">
        <v>1106</v>
      </c>
      <c r="H22" s="31" t="s">
        <v>1107</v>
      </c>
      <c r="I22" s="32">
        <v>2031</v>
      </c>
      <c r="J22" s="32">
        <v>41497</v>
      </c>
      <c r="K22" s="348">
        <v>55746</v>
      </c>
      <c r="L22" s="346">
        <v>7965</v>
      </c>
      <c r="M22" s="451">
        <f t="shared" si="0"/>
        <v>-29973</v>
      </c>
      <c r="N22" s="415">
        <v>25773</v>
      </c>
    </row>
    <row r="23" spans="1:18" outlineLevel="2" x14ac:dyDescent="0.4">
      <c r="A23" s="66" t="s">
        <v>40</v>
      </c>
      <c r="B23" s="3" t="s">
        <v>448</v>
      </c>
      <c r="C23" s="3" t="s">
        <v>448</v>
      </c>
      <c r="D23" s="3" t="s">
        <v>448</v>
      </c>
      <c r="E23" s="3" t="s">
        <v>436</v>
      </c>
      <c r="F23" s="3" t="s">
        <v>448</v>
      </c>
      <c r="G23" s="3" t="s">
        <v>1542</v>
      </c>
      <c r="H23" s="31" t="s">
        <v>1545</v>
      </c>
      <c r="I23" s="32">
        <v>0</v>
      </c>
      <c r="J23" s="32">
        <v>0</v>
      </c>
      <c r="K23" s="348">
        <v>0</v>
      </c>
      <c r="L23" s="346">
        <v>35517</v>
      </c>
      <c r="M23" s="451">
        <f t="shared" si="0"/>
        <v>48216</v>
      </c>
      <c r="N23" s="415">
        <v>48216</v>
      </c>
    </row>
    <row r="24" spans="1:18" outlineLevel="2" x14ac:dyDescent="0.4">
      <c r="A24" s="66" t="s">
        <v>40</v>
      </c>
      <c r="B24" s="3" t="s">
        <v>448</v>
      </c>
      <c r="C24" s="3" t="s">
        <v>448</v>
      </c>
      <c r="D24" s="3" t="s">
        <v>448</v>
      </c>
      <c r="E24" s="3" t="s">
        <v>436</v>
      </c>
      <c r="F24" s="3" t="s">
        <v>448</v>
      </c>
      <c r="G24" s="3" t="s">
        <v>1266</v>
      </c>
      <c r="H24" s="31" t="s">
        <v>1321</v>
      </c>
      <c r="I24" s="32">
        <v>0</v>
      </c>
      <c r="J24" s="32">
        <v>0</v>
      </c>
      <c r="K24" s="348">
        <v>5000</v>
      </c>
      <c r="L24" s="346">
        <v>0</v>
      </c>
      <c r="M24" s="451">
        <f t="shared" si="0"/>
        <v>0</v>
      </c>
      <c r="N24" s="415">
        <v>5000</v>
      </c>
    </row>
    <row r="25" spans="1:18" outlineLevel="2" x14ac:dyDescent="0.4">
      <c r="A25" s="66" t="s">
        <v>40</v>
      </c>
      <c r="B25" s="3" t="s">
        <v>448</v>
      </c>
      <c r="C25" s="3" t="s">
        <v>448</v>
      </c>
      <c r="D25" s="3" t="s">
        <v>448</v>
      </c>
      <c r="E25" s="3" t="s">
        <v>436</v>
      </c>
      <c r="F25" s="3" t="s">
        <v>448</v>
      </c>
      <c r="G25" s="3" t="s">
        <v>2329</v>
      </c>
      <c r="H25" s="31" t="s">
        <v>2343</v>
      </c>
      <c r="I25" s="32">
        <v>0</v>
      </c>
      <c r="J25" s="32">
        <v>0</v>
      </c>
      <c r="K25" s="348">
        <v>0</v>
      </c>
      <c r="L25" s="346">
        <v>0</v>
      </c>
      <c r="M25" s="451">
        <f t="shared" ref="M25:M27" si="3">N25-K25</f>
        <v>1500</v>
      </c>
      <c r="N25" s="415">
        <v>1500</v>
      </c>
    </row>
    <row r="26" spans="1:18" outlineLevel="2" x14ac:dyDescent="0.4">
      <c r="A26" s="66" t="s">
        <v>40</v>
      </c>
      <c r="B26" s="3" t="s">
        <v>448</v>
      </c>
      <c r="C26" s="3" t="s">
        <v>448</v>
      </c>
      <c r="D26" s="3" t="s">
        <v>448</v>
      </c>
      <c r="E26" s="3" t="s">
        <v>436</v>
      </c>
      <c r="F26" s="3" t="s">
        <v>448</v>
      </c>
      <c r="G26" s="3" t="s">
        <v>2330</v>
      </c>
      <c r="H26" s="31" t="s">
        <v>2344</v>
      </c>
      <c r="I26" s="32">
        <v>0</v>
      </c>
      <c r="J26" s="32">
        <v>0</v>
      </c>
      <c r="K26" s="348">
        <v>0</v>
      </c>
      <c r="L26" s="346">
        <v>0</v>
      </c>
      <c r="M26" s="451">
        <f t="shared" si="3"/>
        <v>1200</v>
      </c>
      <c r="N26" s="415">
        <v>1200</v>
      </c>
    </row>
    <row r="27" spans="1:18" outlineLevel="2" x14ac:dyDescent="0.4">
      <c r="A27" s="66" t="s">
        <v>40</v>
      </c>
      <c r="B27" s="3" t="s">
        <v>448</v>
      </c>
      <c r="C27" s="3" t="s">
        <v>448</v>
      </c>
      <c r="D27" s="3" t="s">
        <v>448</v>
      </c>
      <c r="E27" s="3" t="s">
        <v>436</v>
      </c>
      <c r="F27" s="3" t="s">
        <v>448</v>
      </c>
      <c r="G27" s="3" t="s">
        <v>2327</v>
      </c>
      <c r="H27" s="31" t="s">
        <v>2342</v>
      </c>
      <c r="I27" s="32">
        <v>0</v>
      </c>
      <c r="J27" s="32">
        <v>0</v>
      </c>
      <c r="K27" s="348">
        <v>0</v>
      </c>
      <c r="L27" s="346">
        <v>0</v>
      </c>
      <c r="M27" s="451">
        <f t="shared" si="3"/>
        <v>1000</v>
      </c>
      <c r="N27" s="415">
        <v>1000</v>
      </c>
    </row>
    <row r="28" spans="1:18" outlineLevel="2" x14ac:dyDescent="0.4">
      <c r="A28" s="66" t="s">
        <v>40</v>
      </c>
      <c r="B28" s="3">
        <v>0</v>
      </c>
      <c r="C28" s="3">
        <v>0</v>
      </c>
      <c r="D28" s="3">
        <v>0</v>
      </c>
      <c r="E28" s="3">
        <v>1901</v>
      </c>
      <c r="F28" s="3">
        <v>0</v>
      </c>
      <c r="G28" s="3">
        <v>0</v>
      </c>
      <c r="H28" s="31" t="s">
        <v>47</v>
      </c>
      <c r="I28" s="32">
        <v>1165</v>
      </c>
      <c r="J28" s="32">
        <v>0</v>
      </c>
      <c r="K28" s="348">
        <v>0</v>
      </c>
      <c r="L28" s="346">
        <v>0</v>
      </c>
      <c r="M28" s="451">
        <f t="shared" si="0"/>
        <v>0</v>
      </c>
      <c r="N28" s="415">
        <v>0</v>
      </c>
    </row>
    <row r="29" spans="1:18" outlineLevel="2" x14ac:dyDescent="0.4">
      <c r="A29" s="66" t="s">
        <v>40</v>
      </c>
      <c r="B29" s="3">
        <v>0</v>
      </c>
      <c r="C29" s="3">
        <v>0</v>
      </c>
      <c r="D29" s="3">
        <v>0</v>
      </c>
      <c r="E29" s="3">
        <v>1904</v>
      </c>
      <c r="F29" s="3">
        <v>0</v>
      </c>
      <c r="G29" s="3">
        <v>0</v>
      </c>
      <c r="H29" s="31" t="s">
        <v>48</v>
      </c>
      <c r="I29" s="32">
        <v>2433</v>
      </c>
      <c r="J29" s="32">
        <v>2351</v>
      </c>
      <c r="K29" s="346">
        <v>2500</v>
      </c>
      <c r="L29" s="346">
        <v>2400</v>
      </c>
      <c r="M29" s="451">
        <f t="shared" si="0"/>
        <v>-100</v>
      </c>
      <c r="N29" s="414">
        <v>2400</v>
      </c>
    </row>
    <row r="30" spans="1:18" outlineLevel="2" x14ac:dyDescent="0.4">
      <c r="A30" s="66" t="s">
        <v>40</v>
      </c>
      <c r="B30" s="3">
        <v>0</v>
      </c>
      <c r="C30" s="3">
        <v>0</v>
      </c>
      <c r="D30" s="3">
        <v>0</v>
      </c>
      <c r="E30" s="3" t="s">
        <v>1301</v>
      </c>
      <c r="F30" s="3">
        <v>0</v>
      </c>
      <c r="G30" s="3">
        <v>0</v>
      </c>
      <c r="H30" s="31" t="s">
        <v>1302</v>
      </c>
      <c r="I30" s="32">
        <v>0</v>
      </c>
      <c r="J30" s="32">
        <v>12689</v>
      </c>
      <c r="K30" s="348">
        <f>7995+7500</f>
        <v>15495</v>
      </c>
      <c r="L30" s="346">
        <v>0</v>
      </c>
      <c r="M30" s="451">
        <f t="shared" si="0"/>
        <v>-10630</v>
      </c>
      <c r="N30" s="415">
        <v>4865</v>
      </c>
    </row>
    <row r="31" spans="1:18" outlineLevel="2" x14ac:dyDescent="0.4">
      <c r="A31" s="66" t="s">
        <v>40</v>
      </c>
      <c r="B31" s="3">
        <v>0</v>
      </c>
      <c r="C31" s="3">
        <v>0</v>
      </c>
      <c r="D31" s="3">
        <v>0</v>
      </c>
      <c r="E31" s="3">
        <v>1999</v>
      </c>
      <c r="F31" s="3">
        <v>0</v>
      </c>
      <c r="G31" s="3">
        <v>0</v>
      </c>
      <c r="H31" s="31" t="s">
        <v>49</v>
      </c>
      <c r="I31" s="32">
        <v>25464</v>
      </c>
      <c r="J31" s="32">
        <v>6536</v>
      </c>
      <c r="K31" s="348">
        <v>7000</v>
      </c>
      <c r="L31" s="346">
        <v>7000</v>
      </c>
      <c r="M31" s="451">
        <f t="shared" si="0"/>
        <v>0</v>
      </c>
      <c r="N31" s="415">
        <v>7000</v>
      </c>
    </row>
    <row r="32" spans="1:18" outlineLevel="2" x14ac:dyDescent="0.4">
      <c r="A32" s="66" t="s">
        <v>40</v>
      </c>
      <c r="B32" s="3">
        <v>0</v>
      </c>
      <c r="C32" s="3">
        <v>0</v>
      </c>
      <c r="D32" s="3">
        <v>0</v>
      </c>
      <c r="E32" s="3">
        <v>2010</v>
      </c>
      <c r="F32" s="3">
        <v>0</v>
      </c>
      <c r="G32" s="3">
        <v>0</v>
      </c>
      <c r="H32" s="31" t="s">
        <v>50</v>
      </c>
      <c r="I32" s="32">
        <v>33</v>
      </c>
      <c r="J32" s="32">
        <v>43</v>
      </c>
      <c r="K32" s="348">
        <v>43</v>
      </c>
      <c r="L32" s="346">
        <v>38</v>
      </c>
      <c r="M32" s="451">
        <f t="shared" si="0"/>
        <v>3</v>
      </c>
      <c r="N32" s="415">
        <v>46</v>
      </c>
    </row>
    <row r="33" spans="1:14" outlineLevel="2" x14ac:dyDescent="0.4">
      <c r="A33" s="66" t="s">
        <v>40</v>
      </c>
      <c r="B33" s="3" t="s">
        <v>448</v>
      </c>
      <c r="C33" s="3" t="s">
        <v>448</v>
      </c>
      <c r="D33" s="3" t="s">
        <v>448</v>
      </c>
      <c r="E33" s="3" t="s">
        <v>585</v>
      </c>
      <c r="F33" s="3" t="s">
        <v>448</v>
      </c>
      <c r="G33" s="3" t="s">
        <v>586</v>
      </c>
      <c r="H33" s="31" t="s">
        <v>1252</v>
      </c>
      <c r="I33" s="32">
        <v>553</v>
      </c>
      <c r="J33" s="32">
        <v>2722</v>
      </c>
      <c r="K33" s="346">
        <v>2623</v>
      </c>
      <c r="L33" s="346">
        <v>994</v>
      </c>
      <c r="M33" s="451">
        <f t="shared" si="0"/>
        <v>-1536</v>
      </c>
      <c r="N33" s="414">
        <v>1087</v>
      </c>
    </row>
    <row r="34" spans="1:14" outlineLevel="2" x14ac:dyDescent="0.4">
      <c r="A34" s="66" t="s">
        <v>40</v>
      </c>
      <c r="B34" s="3">
        <v>0</v>
      </c>
      <c r="C34" s="3">
        <v>0</v>
      </c>
      <c r="D34" s="3">
        <v>0</v>
      </c>
      <c r="E34" s="3">
        <v>3000</v>
      </c>
      <c r="F34" s="3">
        <v>0</v>
      </c>
      <c r="G34" s="3">
        <v>3140</v>
      </c>
      <c r="H34" s="31" t="s">
        <v>587</v>
      </c>
      <c r="I34" s="32">
        <v>0</v>
      </c>
      <c r="J34" s="32">
        <v>0</v>
      </c>
      <c r="K34" s="346">
        <v>3215</v>
      </c>
      <c r="L34" s="346">
        <v>978</v>
      </c>
      <c r="M34" s="451">
        <f t="shared" si="0"/>
        <v>1024</v>
      </c>
      <c r="N34" s="414">
        <v>4239</v>
      </c>
    </row>
    <row r="35" spans="1:14" outlineLevel="2" x14ac:dyDescent="0.4">
      <c r="A35" s="66" t="s">
        <v>40</v>
      </c>
      <c r="B35" s="3">
        <v>0</v>
      </c>
      <c r="C35" s="3">
        <v>0</v>
      </c>
      <c r="D35" s="3">
        <v>0</v>
      </c>
      <c r="E35" s="3">
        <v>3000</v>
      </c>
      <c r="F35" s="3">
        <v>0</v>
      </c>
      <c r="G35" s="3">
        <v>3160</v>
      </c>
      <c r="H35" s="31" t="s">
        <v>51</v>
      </c>
      <c r="I35" s="32">
        <v>28760</v>
      </c>
      <c r="J35" s="32">
        <v>36693</v>
      </c>
      <c r="K35" s="346">
        <v>35830</v>
      </c>
      <c r="L35" s="141">
        <v>28000</v>
      </c>
      <c r="M35" s="451">
        <f t="shared" si="0"/>
        <v>1183</v>
      </c>
      <c r="N35" s="414">
        <v>37013</v>
      </c>
    </row>
    <row r="36" spans="1:14" outlineLevel="2" x14ac:dyDescent="0.4">
      <c r="A36" s="66" t="s">
        <v>40</v>
      </c>
      <c r="B36" s="3">
        <v>0</v>
      </c>
      <c r="C36" s="3">
        <v>0</v>
      </c>
      <c r="D36" s="3">
        <v>0</v>
      </c>
      <c r="E36" s="3">
        <v>3000</v>
      </c>
      <c r="F36" s="3">
        <v>0</v>
      </c>
      <c r="G36" s="3" t="s">
        <v>1282</v>
      </c>
      <c r="H36" s="31" t="s">
        <v>1281</v>
      </c>
      <c r="I36" s="32">
        <v>0</v>
      </c>
      <c r="J36" s="32">
        <v>92240</v>
      </c>
      <c r="K36" s="346">
        <v>99189</v>
      </c>
      <c r="L36" s="346">
        <v>99189</v>
      </c>
      <c r="M36" s="451">
        <f t="shared" si="0"/>
        <v>8425</v>
      </c>
      <c r="N36" s="414">
        <v>107614</v>
      </c>
    </row>
    <row r="37" spans="1:14" outlineLevel="2" x14ac:dyDescent="0.4">
      <c r="A37" s="66" t="s">
        <v>40</v>
      </c>
      <c r="B37" s="3">
        <v>0</v>
      </c>
      <c r="C37" s="3">
        <v>0</v>
      </c>
      <c r="D37" s="3">
        <v>0</v>
      </c>
      <c r="E37" s="3">
        <v>3000</v>
      </c>
      <c r="F37" s="3">
        <v>0</v>
      </c>
      <c r="G37" s="3">
        <v>3206</v>
      </c>
      <c r="H37" s="31" t="s">
        <v>52</v>
      </c>
      <c r="I37" s="32">
        <v>1628</v>
      </c>
      <c r="J37" s="32">
        <v>4174</v>
      </c>
      <c r="K37" s="346">
        <v>4174</v>
      </c>
      <c r="L37" s="346">
        <v>4000</v>
      </c>
      <c r="M37" s="451">
        <f t="shared" si="0"/>
        <v>4136</v>
      </c>
      <c r="N37" s="414">
        <v>8310</v>
      </c>
    </row>
    <row r="38" spans="1:14" outlineLevel="2" x14ac:dyDescent="0.4">
      <c r="A38" s="66" t="s">
        <v>40</v>
      </c>
      <c r="B38" s="3">
        <v>0</v>
      </c>
      <c r="C38" s="3">
        <v>0</v>
      </c>
      <c r="D38" s="3">
        <v>0</v>
      </c>
      <c r="E38" s="3">
        <v>3000</v>
      </c>
      <c r="F38" s="3">
        <v>0</v>
      </c>
      <c r="G38" s="3">
        <v>3207</v>
      </c>
      <c r="H38" s="31" t="s">
        <v>53</v>
      </c>
      <c r="I38" s="32">
        <v>3500</v>
      </c>
      <c r="J38" s="32">
        <v>3500</v>
      </c>
      <c r="K38" s="346">
        <v>3500</v>
      </c>
      <c r="L38" s="346">
        <v>3500</v>
      </c>
      <c r="M38" s="451">
        <f t="shared" si="0"/>
        <v>1000</v>
      </c>
      <c r="N38" s="414">
        <v>4500</v>
      </c>
    </row>
    <row r="39" spans="1:14" outlineLevel="2" x14ac:dyDescent="0.4">
      <c r="A39" s="66" t="s">
        <v>40</v>
      </c>
      <c r="B39" s="3">
        <v>0</v>
      </c>
      <c r="C39" s="3">
        <v>0</v>
      </c>
      <c r="D39" s="3">
        <v>0</v>
      </c>
      <c r="E39" s="3">
        <v>3000</v>
      </c>
      <c r="F39" s="3">
        <v>0</v>
      </c>
      <c r="G39" s="3" t="s">
        <v>2314</v>
      </c>
      <c r="H39" s="31" t="s">
        <v>2315</v>
      </c>
      <c r="I39" s="32">
        <v>0</v>
      </c>
      <c r="J39" s="32">
        <v>0</v>
      </c>
      <c r="K39" s="346">
        <v>0</v>
      </c>
      <c r="L39" s="346">
        <v>0</v>
      </c>
      <c r="M39" s="451">
        <f t="shared" ref="M39" si="4">N39-K39</f>
        <v>94500</v>
      </c>
      <c r="N39" s="414">
        <v>94500</v>
      </c>
    </row>
    <row r="40" spans="1:14" outlineLevel="2" x14ac:dyDescent="0.4">
      <c r="A40" s="66" t="s">
        <v>40</v>
      </c>
      <c r="B40" s="3">
        <v>0</v>
      </c>
      <c r="C40" s="3">
        <v>0</v>
      </c>
      <c r="D40" s="3">
        <v>0</v>
      </c>
      <c r="E40" s="3">
        <v>3000</v>
      </c>
      <c r="F40" s="3">
        <v>0</v>
      </c>
      <c r="G40" s="3">
        <v>3230</v>
      </c>
      <c r="H40" s="31" t="s">
        <v>615</v>
      </c>
      <c r="I40" s="32">
        <v>38590</v>
      </c>
      <c r="J40" s="32">
        <v>51062</v>
      </c>
      <c r="K40" s="346">
        <v>51062</v>
      </c>
      <c r="L40" s="346">
        <v>36535</v>
      </c>
      <c r="M40" s="451">
        <f t="shared" si="0"/>
        <v>-14527</v>
      </c>
      <c r="N40" s="414">
        <v>36535</v>
      </c>
    </row>
    <row r="41" spans="1:14" outlineLevel="2" x14ac:dyDescent="0.4">
      <c r="A41" s="66" t="s">
        <v>40</v>
      </c>
      <c r="B41" s="3">
        <v>0</v>
      </c>
      <c r="C41" s="3">
        <v>0</v>
      </c>
      <c r="D41" s="3">
        <v>0</v>
      </c>
      <c r="E41" s="3">
        <v>3000</v>
      </c>
      <c r="F41" s="3">
        <v>0</v>
      </c>
      <c r="G41" s="3">
        <v>3235</v>
      </c>
      <c r="H41" s="31" t="s">
        <v>616</v>
      </c>
      <c r="I41" s="32">
        <v>1478</v>
      </c>
      <c r="J41" s="32">
        <v>1539</v>
      </c>
      <c r="K41" s="346">
        <v>1400</v>
      </c>
      <c r="L41" s="346">
        <v>1500</v>
      </c>
      <c r="M41" s="451">
        <f t="shared" si="0"/>
        <v>100</v>
      </c>
      <c r="N41" s="414">
        <v>1500</v>
      </c>
    </row>
    <row r="42" spans="1:14" outlineLevel="2" x14ac:dyDescent="0.4">
      <c r="A42" s="66" t="s">
        <v>40</v>
      </c>
      <c r="B42" s="3">
        <v>0</v>
      </c>
      <c r="C42" s="3">
        <v>0</v>
      </c>
      <c r="D42" s="3">
        <v>0</v>
      </c>
      <c r="E42" s="3">
        <v>3000</v>
      </c>
      <c r="F42" s="3">
        <v>0</v>
      </c>
      <c r="G42" s="3" t="s">
        <v>2347</v>
      </c>
      <c r="H42" s="31" t="s">
        <v>2348</v>
      </c>
      <c r="I42" s="32">
        <v>0</v>
      </c>
      <c r="J42" s="32">
        <v>0</v>
      </c>
      <c r="K42" s="346">
        <v>0</v>
      </c>
      <c r="L42" s="346">
        <v>0</v>
      </c>
      <c r="M42" s="451">
        <f t="shared" ref="M42" si="5">N42-K42</f>
        <v>10607</v>
      </c>
      <c r="N42" s="414">
        <v>10607</v>
      </c>
    </row>
    <row r="43" spans="1:14" outlineLevel="2" x14ac:dyDescent="0.4">
      <c r="A43" s="66" t="s">
        <v>40</v>
      </c>
      <c r="B43" s="3">
        <v>0</v>
      </c>
      <c r="C43" s="3">
        <v>0</v>
      </c>
      <c r="D43" s="3">
        <v>0</v>
      </c>
      <c r="E43" s="3">
        <v>3000</v>
      </c>
      <c r="F43" s="3">
        <v>0</v>
      </c>
      <c r="G43" s="3" t="s">
        <v>2285</v>
      </c>
      <c r="H43" s="31" t="s">
        <v>2286</v>
      </c>
      <c r="I43" s="32">
        <v>0</v>
      </c>
      <c r="J43" s="32">
        <v>34596</v>
      </c>
      <c r="K43" s="346">
        <v>0</v>
      </c>
      <c r="L43" s="346">
        <v>0</v>
      </c>
      <c r="M43" s="451">
        <f t="shared" ref="M43" si="6">N43-K43</f>
        <v>39375</v>
      </c>
      <c r="N43" s="414">
        <v>39375</v>
      </c>
    </row>
    <row r="44" spans="1:14" outlineLevel="2" x14ac:dyDescent="0.4">
      <c r="A44" s="66" t="s">
        <v>40</v>
      </c>
      <c r="B44" s="3">
        <v>0</v>
      </c>
      <c r="C44" s="3">
        <v>0</v>
      </c>
      <c r="D44" s="3">
        <v>0</v>
      </c>
      <c r="E44" s="3">
        <v>3110</v>
      </c>
      <c r="F44" s="3">
        <v>0</v>
      </c>
      <c r="G44" s="3">
        <v>0</v>
      </c>
      <c r="H44" s="31" t="s">
        <v>2394</v>
      </c>
      <c r="I44" s="32">
        <v>2317330</v>
      </c>
      <c r="J44" s="32">
        <v>2465609</v>
      </c>
      <c r="K44" s="346">
        <v>2465611</v>
      </c>
      <c r="L44" s="346">
        <v>2570461</v>
      </c>
      <c r="M44" s="451">
        <f t="shared" si="0"/>
        <v>108168</v>
      </c>
      <c r="N44" s="414">
        <v>2573779</v>
      </c>
    </row>
    <row r="45" spans="1:14" outlineLevel="2" x14ac:dyDescent="0.4">
      <c r="A45" s="66" t="s">
        <v>40</v>
      </c>
      <c r="B45" s="3">
        <v>0</v>
      </c>
      <c r="C45" s="3">
        <v>0</v>
      </c>
      <c r="D45" s="3">
        <v>0</v>
      </c>
      <c r="E45" s="3" t="s">
        <v>1259</v>
      </c>
      <c r="F45" s="3">
        <v>0</v>
      </c>
      <c r="G45" s="3" t="s">
        <v>1260</v>
      </c>
      <c r="H45" s="31" t="s">
        <v>1261</v>
      </c>
      <c r="I45" s="32">
        <v>-3752</v>
      </c>
      <c r="J45" s="32">
        <v>0</v>
      </c>
      <c r="K45" s="348">
        <v>0</v>
      </c>
      <c r="L45" s="346">
        <v>0</v>
      </c>
      <c r="M45" s="451">
        <f t="shared" si="0"/>
        <v>1494</v>
      </c>
      <c r="N45" s="415">
        <v>1494</v>
      </c>
    </row>
    <row r="46" spans="1:14" outlineLevel="2" x14ac:dyDescent="0.4">
      <c r="A46" s="66" t="s">
        <v>40</v>
      </c>
      <c r="B46" s="3">
        <v>0</v>
      </c>
      <c r="C46" s="3">
        <v>0</v>
      </c>
      <c r="D46" s="3">
        <v>0</v>
      </c>
      <c r="E46" s="3" t="s">
        <v>2340</v>
      </c>
      <c r="F46" s="3">
        <v>0</v>
      </c>
      <c r="G46" s="3" t="s">
        <v>448</v>
      </c>
      <c r="H46" s="31" t="s">
        <v>2341</v>
      </c>
      <c r="I46" s="32">
        <v>0</v>
      </c>
      <c r="J46" s="32">
        <v>0</v>
      </c>
      <c r="K46" s="348">
        <v>0</v>
      </c>
      <c r="L46" s="346">
        <v>0</v>
      </c>
      <c r="M46" s="451">
        <f t="shared" ref="M46" si="7">N46-K46</f>
        <v>-1186</v>
      </c>
      <c r="N46" s="415">
        <v>-1186</v>
      </c>
    </row>
    <row r="47" spans="1:14" outlineLevel="2" x14ac:dyDescent="0.4">
      <c r="A47" s="66" t="s">
        <v>40</v>
      </c>
      <c r="B47" s="3" t="s">
        <v>448</v>
      </c>
      <c r="C47" s="3" t="s">
        <v>448</v>
      </c>
      <c r="D47" s="3" t="s">
        <v>448</v>
      </c>
      <c r="E47" s="3" t="s">
        <v>588</v>
      </c>
      <c r="F47" s="3" t="s">
        <v>448</v>
      </c>
      <c r="G47" s="3" t="s">
        <v>589</v>
      </c>
      <c r="H47" s="31" t="s">
        <v>590</v>
      </c>
      <c r="I47" s="32">
        <v>21689</v>
      </c>
      <c r="J47" s="32">
        <v>10472</v>
      </c>
      <c r="K47" s="348">
        <v>10690</v>
      </c>
      <c r="L47" s="346">
        <v>0</v>
      </c>
      <c r="M47" s="451">
        <f t="shared" si="0"/>
        <v>-10690</v>
      </c>
      <c r="N47" s="415">
        <v>0</v>
      </c>
    </row>
    <row r="48" spans="1:14" outlineLevel="2" x14ac:dyDescent="0.4">
      <c r="A48" s="66" t="s">
        <v>40</v>
      </c>
      <c r="B48" s="3">
        <v>0</v>
      </c>
      <c r="C48" s="3">
        <v>0</v>
      </c>
      <c r="D48" s="3">
        <v>0</v>
      </c>
      <c r="E48" s="3">
        <v>3951</v>
      </c>
      <c r="F48" s="3">
        <v>0</v>
      </c>
      <c r="G48" s="3">
        <v>3150</v>
      </c>
      <c r="H48" s="31" t="s">
        <v>625</v>
      </c>
      <c r="I48" s="32">
        <v>5396</v>
      </c>
      <c r="J48" s="32">
        <v>707</v>
      </c>
      <c r="K48" s="348">
        <v>1232</v>
      </c>
      <c r="L48" s="346">
        <v>1200</v>
      </c>
      <c r="M48" s="451">
        <f t="shared" si="0"/>
        <v>1568</v>
      </c>
      <c r="N48" s="415">
        <v>2800</v>
      </c>
    </row>
    <row r="49" spans="1:15" outlineLevel="2" x14ac:dyDescent="0.4">
      <c r="A49" s="66" t="s">
        <v>40</v>
      </c>
      <c r="B49" s="3">
        <v>0</v>
      </c>
      <c r="C49" s="3">
        <v>0</v>
      </c>
      <c r="D49" s="3">
        <v>0</v>
      </c>
      <c r="E49" s="3">
        <v>3951</v>
      </c>
      <c r="F49" s="3">
        <v>0</v>
      </c>
      <c r="G49" s="3" t="s">
        <v>1360</v>
      </c>
      <c r="H49" s="31" t="s">
        <v>1358</v>
      </c>
      <c r="I49" s="32">
        <v>0</v>
      </c>
      <c r="J49" s="32">
        <v>738</v>
      </c>
      <c r="K49" s="348">
        <v>738</v>
      </c>
      <c r="L49" s="346">
        <v>0</v>
      </c>
      <c r="M49" s="451">
        <f t="shared" si="0"/>
        <v>-738</v>
      </c>
      <c r="N49" s="415">
        <v>0</v>
      </c>
    </row>
    <row r="50" spans="1:15" outlineLevel="2" x14ac:dyDescent="0.4">
      <c r="A50" s="66" t="s">
        <v>40</v>
      </c>
      <c r="B50" s="3">
        <v>0</v>
      </c>
      <c r="C50" s="3">
        <v>0</v>
      </c>
      <c r="D50" s="3">
        <v>0</v>
      </c>
      <c r="E50" s="3">
        <v>4000</v>
      </c>
      <c r="F50" s="3">
        <v>0</v>
      </c>
      <c r="G50" s="3">
        <v>4010</v>
      </c>
      <c r="H50" s="31" t="s">
        <v>55</v>
      </c>
      <c r="I50" s="32">
        <v>99906</v>
      </c>
      <c r="J50" s="32">
        <v>94499</v>
      </c>
      <c r="K50" s="348">
        <v>100368</v>
      </c>
      <c r="L50" s="346">
        <v>95693</v>
      </c>
      <c r="M50" s="451">
        <f t="shared" si="0"/>
        <v>2236</v>
      </c>
      <c r="N50" s="415">
        <v>102604</v>
      </c>
      <c r="O50" s="408"/>
    </row>
    <row r="51" spans="1:15" outlineLevel="2" x14ac:dyDescent="0.4">
      <c r="A51" s="66" t="s">
        <v>40</v>
      </c>
      <c r="B51" s="3">
        <v>0</v>
      </c>
      <c r="C51" s="3">
        <v>0</v>
      </c>
      <c r="D51" s="3">
        <v>0</v>
      </c>
      <c r="E51" s="3">
        <v>4000</v>
      </c>
      <c r="F51" s="3">
        <v>0</v>
      </c>
      <c r="G51" s="3">
        <v>4367</v>
      </c>
      <c r="H51" s="31" t="s">
        <v>56</v>
      </c>
      <c r="I51" s="32">
        <v>14098</v>
      </c>
      <c r="J51" s="32">
        <v>3327</v>
      </c>
      <c r="K51" s="348">
        <v>9807</v>
      </c>
      <c r="L51" s="346">
        <v>8966</v>
      </c>
      <c r="M51" s="451">
        <f t="shared" si="0"/>
        <v>6614</v>
      </c>
      <c r="N51" s="415">
        <v>16421</v>
      </c>
      <c r="O51" s="408"/>
    </row>
    <row r="52" spans="1:15" outlineLevel="2" x14ac:dyDescent="0.4">
      <c r="A52" s="66" t="s">
        <v>40</v>
      </c>
      <c r="B52" s="3" t="s">
        <v>448</v>
      </c>
      <c r="C52" s="3" t="s">
        <v>448</v>
      </c>
      <c r="D52" s="3" t="s">
        <v>448</v>
      </c>
      <c r="E52" s="3" t="s">
        <v>591</v>
      </c>
      <c r="F52" s="3" t="s">
        <v>448</v>
      </c>
      <c r="G52" s="3" t="s">
        <v>621</v>
      </c>
      <c r="H52" s="31" t="s">
        <v>607</v>
      </c>
      <c r="I52" s="32">
        <v>1688</v>
      </c>
      <c r="J52" s="32">
        <v>14602</v>
      </c>
      <c r="K52" s="348">
        <v>16053</v>
      </c>
      <c r="L52" s="346">
        <v>6621</v>
      </c>
      <c r="M52" s="451">
        <f t="shared" si="0"/>
        <v>-7388</v>
      </c>
      <c r="N52" s="415">
        <v>8665</v>
      </c>
    </row>
    <row r="53" spans="1:15" outlineLevel="2" x14ac:dyDescent="0.4">
      <c r="A53" s="66" t="s">
        <v>40</v>
      </c>
      <c r="B53" s="3" t="s">
        <v>448</v>
      </c>
      <c r="C53" s="3" t="s">
        <v>448</v>
      </c>
      <c r="D53" s="3" t="s">
        <v>448</v>
      </c>
      <c r="E53" s="3" t="s">
        <v>606</v>
      </c>
      <c r="F53" s="3" t="s">
        <v>448</v>
      </c>
      <c r="G53" s="3" t="s">
        <v>592</v>
      </c>
      <c r="H53" s="31" t="s">
        <v>593</v>
      </c>
      <c r="I53" s="32">
        <v>397</v>
      </c>
      <c r="J53" s="32">
        <v>603</v>
      </c>
      <c r="K53" s="348">
        <v>603</v>
      </c>
      <c r="L53" s="346">
        <v>0</v>
      </c>
      <c r="M53" s="451">
        <f t="shared" si="0"/>
        <v>-603</v>
      </c>
      <c r="N53" s="415">
        <v>0</v>
      </c>
    </row>
    <row r="54" spans="1:15" outlineLevel="2" x14ac:dyDescent="0.4">
      <c r="A54" s="66" t="s">
        <v>40</v>
      </c>
      <c r="B54" s="3">
        <v>0</v>
      </c>
      <c r="C54" s="3">
        <v>0</v>
      </c>
      <c r="D54" s="3">
        <v>0</v>
      </c>
      <c r="E54" s="3">
        <v>4010</v>
      </c>
      <c r="F54" s="3">
        <v>0</v>
      </c>
      <c r="G54" s="3">
        <v>7665</v>
      </c>
      <c r="H54" s="31" t="s">
        <v>57</v>
      </c>
      <c r="I54" s="32">
        <v>134134</v>
      </c>
      <c r="J54" s="32">
        <v>43370</v>
      </c>
      <c r="K54" s="348">
        <v>0</v>
      </c>
      <c r="L54" s="346">
        <v>0</v>
      </c>
      <c r="M54" s="451">
        <f t="shared" si="0"/>
        <v>130111</v>
      </c>
      <c r="N54" s="415">
        <v>130111</v>
      </c>
    </row>
    <row r="55" spans="1:15" outlineLevel="2" x14ac:dyDescent="0.4">
      <c r="A55" s="66" t="s">
        <v>40</v>
      </c>
      <c r="B55" s="3">
        <v>0</v>
      </c>
      <c r="C55" s="3">
        <v>0</v>
      </c>
      <c r="D55" s="3">
        <v>0</v>
      </c>
      <c r="E55" s="3">
        <v>4020</v>
      </c>
      <c r="F55" s="3">
        <v>0</v>
      </c>
      <c r="G55" s="3">
        <v>4358</v>
      </c>
      <c r="H55" s="31" t="s">
        <v>58</v>
      </c>
      <c r="I55" s="32">
        <v>17004</v>
      </c>
      <c r="J55" s="32">
        <v>25337</v>
      </c>
      <c r="K55" s="348">
        <v>25337</v>
      </c>
      <c r="L55" s="346">
        <v>12915</v>
      </c>
      <c r="M55" s="451">
        <f t="shared" si="0"/>
        <v>-17048</v>
      </c>
      <c r="N55" s="415">
        <v>8289</v>
      </c>
    </row>
    <row r="56" spans="1:15" outlineLevel="2" x14ac:dyDescent="0.4">
      <c r="A56" s="66" t="s">
        <v>40</v>
      </c>
      <c r="B56" s="3">
        <v>0</v>
      </c>
      <c r="C56" s="3">
        <v>0</v>
      </c>
      <c r="D56" s="3">
        <v>0</v>
      </c>
      <c r="E56" s="3">
        <v>5243</v>
      </c>
      <c r="F56" s="3">
        <v>0</v>
      </c>
      <c r="G56" s="3">
        <v>0</v>
      </c>
      <c r="H56" s="31" t="s">
        <v>59</v>
      </c>
      <c r="I56" s="32">
        <v>-100000</v>
      </c>
      <c r="J56" s="32">
        <v>-100000</v>
      </c>
      <c r="K56" s="348">
        <v>-100000</v>
      </c>
      <c r="L56" s="346">
        <v>-100000</v>
      </c>
      <c r="M56" s="451">
        <f t="shared" si="0"/>
        <v>0</v>
      </c>
      <c r="N56" s="415">
        <v>-100000</v>
      </c>
    </row>
    <row r="57" spans="1:15" outlineLevel="2" x14ac:dyDescent="0.4">
      <c r="A57" s="66" t="s">
        <v>40</v>
      </c>
      <c r="B57" s="3">
        <v>0</v>
      </c>
      <c r="C57" s="3">
        <v>0</v>
      </c>
      <c r="D57" s="3">
        <v>0</v>
      </c>
      <c r="E57" s="3" t="s">
        <v>1262</v>
      </c>
      <c r="F57" s="3">
        <v>0</v>
      </c>
      <c r="G57" s="3">
        <v>0</v>
      </c>
      <c r="H57" s="31" t="s">
        <v>60</v>
      </c>
      <c r="I57" s="32">
        <v>-54244</v>
      </c>
      <c r="J57" s="32">
        <v>-56005</v>
      </c>
      <c r="K57" s="346">
        <v>-70000</v>
      </c>
      <c r="L57" s="346">
        <v>-64234</v>
      </c>
      <c r="M57" s="451">
        <f t="shared" si="0"/>
        <v>8000</v>
      </c>
      <c r="N57" s="414">
        <v>-62000</v>
      </c>
    </row>
    <row r="58" spans="1:15" outlineLevel="2" x14ac:dyDescent="0.4">
      <c r="A58" s="66" t="s">
        <v>40</v>
      </c>
      <c r="B58" s="3">
        <v>0</v>
      </c>
      <c r="C58" s="3">
        <v>0</v>
      </c>
      <c r="D58" s="3">
        <v>0</v>
      </c>
      <c r="E58" s="3" t="s">
        <v>2309</v>
      </c>
      <c r="F58" s="3">
        <v>0</v>
      </c>
      <c r="G58" s="3" t="s">
        <v>606</v>
      </c>
      <c r="H58" s="31" t="s">
        <v>2310</v>
      </c>
      <c r="I58" s="32">
        <v>0</v>
      </c>
      <c r="J58" s="32">
        <v>0</v>
      </c>
      <c r="K58" s="346">
        <v>0</v>
      </c>
      <c r="L58" s="346">
        <v>0</v>
      </c>
      <c r="M58" s="451">
        <f t="shared" ref="M58" si="8">N58-K58</f>
        <v>-1430</v>
      </c>
      <c r="N58" s="414">
        <v>-1430</v>
      </c>
    </row>
    <row r="59" spans="1:15" outlineLevel="2" x14ac:dyDescent="0.4">
      <c r="A59" s="66" t="s">
        <v>40</v>
      </c>
      <c r="B59" s="3">
        <v>0</v>
      </c>
      <c r="C59" s="3">
        <v>0</v>
      </c>
      <c r="D59" s="3">
        <v>0</v>
      </c>
      <c r="E59" s="3" t="s">
        <v>2309</v>
      </c>
      <c r="F59" s="3">
        <v>0</v>
      </c>
      <c r="G59" s="3" t="s">
        <v>2311</v>
      </c>
      <c r="H59" s="31" t="s">
        <v>2310</v>
      </c>
      <c r="I59" s="32">
        <v>0</v>
      </c>
      <c r="J59" s="32">
        <v>0</v>
      </c>
      <c r="K59" s="346">
        <v>0</v>
      </c>
      <c r="L59" s="346">
        <v>0</v>
      </c>
      <c r="M59" s="451">
        <f t="shared" ref="M59" si="9">N59-K59</f>
        <v>1430</v>
      </c>
      <c r="N59" s="414">
        <v>1430</v>
      </c>
    </row>
    <row r="60" spans="1:15" outlineLevel="2" x14ac:dyDescent="0.4">
      <c r="A60" s="66" t="s">
        <v>40</v>
      </c>
      <c r="B60" s="3">
        <v>950</v>
      </c>
      <c r="C60" s="3">
        <v>0</v>
      </c>
      <c r="D60" s="3">
        <v>0</v>
      </c>
      <c r="E60" s="3">
        <v>5711</v>
      </c>
      <c r="F60" s="3">
        <v>0</v>
      </c>
      <c r="G60" s="3">
        <v>0</v>
      </c>
      <c r="H60" s="31" t="s">
        <v>61</v>
      </c>
      <c r="I60" s="32">
        <v>-1132229</v>
      </c>
      <c r="J60" s="32">
        <v>-1171197</v>
      </c>
      <c r="K60" s="346">
        <v>-1150000</v>
      </c>
      <c r="L60" s="346">
        <v>-1197559</v>
      </c>
      <c r="M60" s="451">
        <f t="shared" si="0"/>
        <v>-174565</v>
      </c>
      <c r="N60" s="414">
        <v>-1324565</v>
      </c>
    </row>
    <row r="61" spans="1:15" ht="27" outlineLevel="2" thickBot="1" x14ac:dyDescent="0.45">
      <c r="A61" s="66" t="s">
        <v>40</v>
      </c>
      <c r="B61" s="3">
        <v>0</v>
      </c>
      <c r="C61" s="3">
        <v>0</v>
      </c>
      <c r="D61" s="3">
        <v>0</v>
      </c>
      <c r="E61" s="3">
        <v>5819</v>
      </c>
      <c r="F61" s="3">
        <v>0</v>
      </c>
      <c r="G61" s="3">
        <v>3141</v>
      </c>
      <c r="H61" s="31" t="s">
        <v>62</v>
      </c>
      <c r="I61" s="32">
        <v>-113532</v>
      </c>
      <c r="J61" s="32">
        <v>-169702</v>
      </c>
      <c r="K61" s="346">
        <v>-168000</v>
      </c>
      <c r="L61" s="346">
        <v>-162631</v>
      </c>
      <c r="M61" s="451">
        <f>N61-K61</f>
        <v>1250</v>
      </c>
      <c r="N61" s="414">
        <v>-166750</v>
      </c>
    </row>
    <row r="62" spans="1:15" s="36" customFormat="1" ht="28.9" customHeight="1" outlineLevel="1" thickBot="1" x14ac:dyDescent="0.45">
      <c r="A62" s="67" t="s">
        <v>446</v>
      </c>
      <c r="B62" s="4"/>
      <c r="C62" s="4"/>
      <c r="D62" s="4"/>
      <c r="E62" s="4"/>
      <c r="F62" s="4"/>
      <c r="G62" s="4"/>
      <c r="H62" s="33"/>
      <c r="I62" s="34">
        <f>SUBTOTAL(9,I2:I61)</f>
        <v>4087763</v>
      </c>
      <c r="J62" s="34">
        <f>SUBTOTAL(9,J2:J61)</f>
        <v>4486115</v>
      </c>
      <c r="K62" s="35">
        <f>SUBTOTAL(9,K2:K61)</f>
        <v>4395047</v>
      </c>
      <c r="L62" s="35">
        <f>SUBTOTAL(9,L2:L61)</f>
        <v>4359524</v>
      </c>
      <c r="M62" s="452">
        <f>N62-K62</f>
        <v>305478</v>
      </c>
      <c r="N62" s="416">
        <f>SUBTOTAL(9,N2:N61)</f>
        <v>4700525</v>
      </c>
    </row>
    <row r="63" spans="1:15" s="30" customFormat="1" ht="83.25" customHeight="1" thickBot="1" x14ac:dyDescent="0.45">
      <c r="A63" s="65"/>
      <c r="B63" s="2"/>
      <c r="C63" s="2"/>
      <c r="D63" s="2"/>
      <c r="E63" s="2"/>
      <c r="F63" s="2"/>
      <c r="G63" s="2"/>
      <c r="H63" s="225" t="s">
        <v>64</v>
      </c>
      <c r="I63" s="225" t="s">
        <v>1255</v>
      </c>
      <c r="J63" s="225" t="s">
        <v>2273</v>
      </c>
      <c r="K63" s="226" t="s">
        <v>1446</v>
      </c>
      <c r="L63" s="227" t="s">
        <v>1447</v>
      </c>
      <c r="M63" s="450" t="s">
        <v>1445</v>
      </c>
      <c r="N63" s="413" t="s">
        <v>1444</v>
      </c>
    </row>
    <row r="64" spans="1:15" outlineLevel="6" x14ac:dyDescent="0.4">
      <c r="A64" s="70">
        <v>10</v>
      </c>
      <c r="B64" s="3">
        <v>100</v>
      </c>
      <c r="C64" s="3">
        <v>0</v>
      </c>
      <c r="D64" s="3">
        <v>10</v>
      </c>
      <c r="E64" s="3">
        <v>110</v>
      </c>
      <c r="F64" s="3">
        <v>200</v>
      </c>
      <c r="G64" s="3">
        <v>0</v>
      </c>
      <c r="H64" s="31" t="s">
        <v>65</v>
      </c>
      <c r="I64" s="32">
        <v>17374</v>
      </c>
      <c r="J64" s="32">
        <v>32348</v>
      </c>
      <c r="K64" s="40">
        <f>31844+200</f>
        <v>32044</v>
      </c>
      <c r="L64" s="40">
        <f>42849+200</f>
        <v>43049</v>
      </c>
      <c r="M64" s="451">
        <f>N64-K64</f>
        <v>11005</v>
      </c>
      <c r="N64" s="417">
        <v>43049</v>
      </c>
      <c r="O64" s="29" t="s">
        <v>1568</v>
      </c>
    </row>
    <row r="65" spans="1:17" outlineLevel="6" x14ac:dyDescent="0.4">
      <c r="A65" s="70">
        <v>10</v>
      </c>
      <c r="B65" s="3">
        <v>100</v>
      </c>
      <c r="C65" s="3">
        <v>0</v>
      </c>
      <c r="D65" s="3">
        <v>10</v>
      </c>
      <c r="E65" s="3">
        <v>120</v>
      </c>
      <c r="F65" s="3">
        <v>200</v>
      </c>
      <c r="G65" s="3">
        <v>0</v>
      </c>
      <c r="H65" s="31" t="s">
        <v>66</v>
      </c>
      <c r="I65" s="32">
        <v>0</v>
      </c>
      <c r="J65" s="32">
        <v>550</v>
      </c>
      <c r="K65" s="40">
        <v>900</v>
      </c>
      <c r="L65" s="40">
        <v>900</v>
      </c>
      <c r="M65" s="451">
        <f>N65-K65</f>
        <v>0</v>
      </c>
      <c r="N65" s="417">
        <v>900</v>
      </c>
    </row>
    <row r="66" spans="1:17" outlineLevel="6" x14ac:dyDescent="0.4">
      <c r="A66" s="70">
        <v>10</v>
      </c>
      <c r="B66" s="3">
        <v>100</v>
      </c>
      <c r="C66" s="3">
        <v>0</v>
      </c>
      <c r="D66" s="3">
        <v>10</v>
      </c>
      <c r="E66" s="3" t="s">
        <v>1275</v>
      </c>
      <c r="F66" s="3">
        <v>200</v>
      </c>
      <c r="G66" s="3">
        <v>0</v>
      </c>
      <c r="H66" s="31" t="s">
        <v>2368</v>
      </c>
      <c r="I66" s="32">
        <v>0</v>
      </c>
      <c r="J66" s="32">
        <v>0</v>
      </c>
      <c r="K66" s="40">
        <v>0</v>
      </c>
      <c r="L66" s="40">
        <v>0</v>
      </c>
      <c r="M66" s="451">
        <f>N66-K66</f>
        <v>580</v>
      </c>
      <c r="N66" s="417">
        <v>580</v>
      </c>
    </row>
    <row r="67" spans="1:17" outlineLevel="6" x14ac:dyDescent="0.4">
      <c r="A67" s="70">
        <v>10</v>
      </c>
      <c r="B67" s="3">
        <v>100</v>
      </c>
      <c r="C67" s="3">
        <v>0</v>
      </c>
      <c r="D67" s="3">
        <v>10</v>
      </c>
      <c r="E67" s="3">
        <v>210</v>
      </c>
      <c r="F67" s="3">
        <v>200</v>
      </c>
      <c r="G67" s="3">
        <v>0</v>
      </c>
      <c r="H67" s="31" t="s">
        <v>1346</v>
      </c>
      <c r="I67" s="32">
        <v>33</v>
      </c>
      <c r="J67" s="32">
        <v>59</v>
      </c>
      <c r="K67" s="40">
        <v>66</v>
      </c>
      <c r="L67" s="40">
        <v>66</v>
      </c>
      <c r="M67" s="451">
        <f t="shared" ref="M67:M73" si="10">N67-K67</f>
        <v>0</v>
      </c>
      <c r="N67" s="417">
        <v>66</v>
      </c>
    </row>
    <row r="68" spans="1:17" outlineLevel="6" x14ac:dyDescent="0.4">
      <c r="A68" s="70">
        <v>10</v>
      </c>
      <c r="B68" s="3">
        <v>100</v>
      </c>
      <c r="C68" s="3">
        <v>0</v>
      </c>
      <c r="D68" s="3">
        <v>10</v>
      </c>
      <c r="E68" s="3">
        <v>215</v>
      </c>
      <c r="F68" s="3">
        <v>200</v>
      </c>
      <c r="G68" s="3">
        <v>0</v>
      </c>
      <c r="H68" s="31" t="s">
        <v>67</v>
      </c>
      <c r="I68" s="32">
        <v>52</v>
      </c>
      <c r="J68" s="32">
        <v>99</v>
      </c>
      <c r="K68" s="40">
        <f>99+1</f>
        <v>100</v>
      </c>
      <c r="L68" s="40">
        <v>132</v>
      </c>
      <c r="M68" s="451">
        <f t="shared" si="10"/>
        <v>34</v>
      </c>
      <c r="N68" s="417">
        <v>134</v>
      </c>
    </row>
    <row r="69" spans="1:17" outlineLevel="6" x14ac:dyDescent="0.4">
      <c r="A69" s="70">
        <v>10</v>
      </c>
      <c r="B69" s="3">
        <v>100</v>
      </c>
      <c r="C69" s="3">
        <v>0</v>
      </c>
      <c r="D69" s="3">
        <v>10</v>
      </c>
      <c r="E69" s="3">
        <v>221</v>
      </c>
      <c r="F69" s="3">
        <v>200</v>
      </c>
      <c r="G69" s="3">
        <v>0</v>
      </c>
      <c r="H69" s="31" t="s">
        <v>68</v>
      </c>
      <c r="I69" s="32">
        <v>252</v>
      </c>
      <c r="J69" s="32">
        <v>477</v>
      </c>
      <c r="K69" s="40">
        <f>475+3</f>
        <v>478</v>
      </c>
      <c r="L69" s="40">
        <v>638</v>
      </c>
      <c r="M69" s="451">
        <f t="shared" si="10"/>
        <v>168</v>
      </c>
      <c r="N69" s="417">
        <v>646</v>
      </c>
    </row>
    <row r="70" spans="1:17" outlineLevel="6" x14ac:dyDescent="0.4">
      <c r="A70" s="70">
        <v>10</v>
      </c>
      <c r="B70" s="3">
        <v>100</v>
      </c>
      <c r="C70" s="3">
        <v>0</v>
      </c>
      <c r="D70" s="3">
        <v>10</v>
      </c>
      <c r="E70" s="3">
        <v>230</v>
      </c>
      <c r="F70" s="3">
        <v>200</v>
      </c>
      <c r="G70" s="3">
        <v>0</v>
      </c>
      <c r="H70" s="31" t="s">
        <v>69</v>
      </c>
      <c r="I70" s="32">
        <v>3423</v>
      </c>
      <c r="J70" s="32">
        <v>6575</v>
      </c>
      <c r="K70" s="40">
        <v>6598</v>
      </c>
      <c r="L70" s="40">
        <v>8966</v>
      </c>
      <c r="M70" s="451">
        <f t="shared" si="10"/>
        <v>2486</v>
      </c>
      <c r="N70" s="417">
        <v>9084</v>
      </c>
    </row>
    <row r="71" spans="1:17" outlineLevel="6" x14ac:dyDescent="0.4">
      <c r="A71" s="70">
        <v>10</v>
      </c>
      <c r="B71" s="3">
        <v>100</v>
      </c>
      <c r="C71" s="3">
        <v>0</v>
      </c>
      <c r="D71" s="3">
        <v>10</v>
      </c>
      <c r="E71" s="3">
        <v>250</v>
      </c>
      <c r="F71" s="3">
        <v>200</v>
      </c>
      <c r="G71" s="3">
        <v>0</v>
      </c>
      <c r="H71" s="31" t="s">
        <v>70</v>
      </c>
      <c r="I71" s="32">
        <v>2858</v>
      </c>
      <c r="J71" s="32">
        <v>5369</v>
      </c>
      <c r="K71" s="40">
        <v>5879</v>
      </c>
      <c r="L71" s="40">
        <v>6132</v>
      </c>
      <c r="M71" s="451">
        <f t="shared" si="10"/>
        <v>290</v>
      </c>
      <c r="N71" s="417">
        <v>6169</v>
      </c>
    </row>
    <row r="72" spans="1:17" outlineLevel="6" x14ac:dyDescent="0.4">
      <c r="A72" s="70">
        <v>10</v>
      </c>
      <c r="B72" s="3">
        <v>100</v>
      </c>
      <c r="C72" s="3">
        <v>0</v>
      </c>
      <c r="D72" s="3">
        <v>10</v>
      </c>
      <c r="E72" s="3" t="s">
        <v>2287</v>
      </c>
      <c r="F72" s="3">
        <v>200</v>
      </c>
      <c r="G72" s="3" t="s">
        <v>2285</v>
      </c>
      <c r="H72" s="31" t="s">
        <v>2288</v>
      </c>
      <c r="I72" s="32">
        <v>0</v>
      </c>
      <c r="J72" s="32">
        <v>877</v>
      </c>
      <c r="K72" s="40">
        <v>0</v>
      </c>
      <c r="L72" s="40">
        <v>0</v>
      </c>
      <c r="M72" s="451">
        <f t="shared" ref="M72" si="11">N72-K72</f>
        <v>880</v>
      </c>
      <c r="N72" s="417">
        <v>880</v>
      </c>
      <c r="Q72" s="509"/>
    </row>
    <row r="73" spans="1:17" outlineLevel="6" x14ac:dyDescent="0.4">
      <c r="A73" s="70">
        <v>10</v>
      </c>
      <c r="B73" s="3">
        <v>100</v>
      </c>
      <c r="C73" s="3">
        <v>0</v>
      </c>
      <c r="D73" s="3">
        <v>10</v>
      </c>
      <c r="E73" s="3">
        <v>600</v>
      </c>
      <c r="F73" s="3">
        <v>0</v>
      </c>
      <c r="G73" s="3">
        <v>0</v>
      </c>
      <c r="H73" s="31" t="s">
        <v>71</v>
      </c>
      <c r="I73" s="32">
        <v>118</v>
      </c>
      <c r="J73" s="32">
        <v>0</v>
      </c>
      <c r="K73" s="40">
        <v>0</v>
      </c>
      <c r="L73" s="40">
        <v>300</v>
      </c>
      <c r="M73" s="451">
        <f t="shared" si="10"/>
        <v>300</v>
      </c>
      <c r="N73" s="417">
        <v>300</v>
      </c>
      <c r="Q73" s="509"/>
    </row>
    <row r="74" spans="1:17" ht="27" outlineLevel="6" thickBot="1" x14ac:dyDescent="0.45">
      <c r="A74" s="70">
        <v>10</v>
      </c>
      <c r="B74" s="3">
        <v>100</v>
      </c>
      <c r="C74" s="3">
        <v>0</v>
      </c>
      <c r="D74" s="3">
        <v>10</v>
      </c>
      <c r="E74" s="3">
        <v>600</v>
      </c>
      <c r="F74" s="3">
        <v>0</v>
      </c>
      <c r="G74" s="3" t="s">
        <v>2347</v>
      </c>
      <c r="H74" s="31" t="s">
        <v>2393</v>
      </c>
      <c r="I74" s="32">
        <v>0</v>
      </c>
      <c r="J74" s="32">
        <v>0</v>
      </c>
      <c r="K74" s="40">
        <v>0</v>
      </c>
      <c r="L74" s="40">
        <v>0</v>
      </c>
      <c r="M74" s="451">
        <f t="shared" ref="M74" si="12">N74-K74</f>
        <v>10607</v>
      </c>
      <c r="N74" s="417">
        <v>10607</v>
      </c>
      <c r="Q74" s="509"/>
    </row>
    <row r="75" spans="1:17" ht="27" outlineLevel="5" thickBot="1" x14ac:dyDescent="0.45">
      <c r="A75" s="71"/>
      <c r="B75" s="6"/>
      <c r="C75" s="6"/>
      <c r="D75" s="72" t="s">
        <v>63</v>
      </c>
      <c r="E75" s="6"/>
      <c r="F75" s="6"/>
      <c r="G75" s="6"/>
      <c r="H75" s="41"/>
      <c r="I75" s="42">
        <f>SUBTOTAL(9,I64:I74)</f>
        <v>24110</v>
      </c>
      <c r="J75" s="42">
        <f>SUBTOTAL(9,J64:J74)</f>
        <v>46354</v>
      </c>
      <c r="K75" s="43">
        <f>SUBTOTAL(9,K64:K74)</f>
        <v>46065</v>
      </c>
      <c r="L75" s="43">
        <f>SUBTOTAL(9,L64:L74)</f>
        <v>60183</v>
      </c>
      <c r="M75" s="453">
        <f>N75-K75</f>
        <v>26350</v>
      </c>
      <c r="N75" s="237">
        <f>SUBTOTAL(9,N64:N74)</f>
        <v>72415</v>
      </c>
    </row>
    <row r="76" spans="1:17" outlineLevel="6" x14ac:dyDescent="0.4">
      <c r="A76" s="70">
        <v>10</v>
      </c>
      <c r="B76" s="3">
        <v>100</v>
      </c>
      <c r="C76" s="3">
        <v>0</v>
      </c>
      <c r="D76" s="3">
        <v>11</v>
      </c>
      <c r="E76" s="3">
        <v>110</v>
      </c>
      <c r="F76" s="3">
        <v>200</v>
      </c>
      <c r="G76" s="3">
        <v>0</v>
      </c>
      <c r="H76" s="31" t="s">
        <v>72</v>
      </c>
      <c r="I76" s="32">
        <v>17373</v>
      </c>
      <c r="J76" s="32">
        <v>17636</v>
      </c>
      <c r="K76" s="40">
        <f>16882.5+100</f>
        <v>16982.5</v>
      </c>
      <c r="L76" s="40">
        <v>17195</v>
      </c>
      <c r="M76" s="451">
        <f>N76-K76</f>
        <v>212.5</v>
      </c>
      <c r="N76" s="417">
        <v>17195</v>
      </c>
      <c r="O76" s="29" t="s">
        <v>1459</v>
      </c>
    </row>
    <row r="77" spans="1:17" outlineLevel="6" x14ac:dyDescent="0.4">
      <c r="A77" s="70">
        <v>10</v>
      </c>
      <c r="B77" s="3">
        <v>100</v>
      </c>
      <c r="C77" s="3">
        <v>0</v>
      </c>
      <c r="D77" s="3">
        <v>11</v>
      </c>
      <c r="E77" s="3">
        <v>120</v>
      </c>
      <c r="F77" s="3">
        <v>200</v>
      </c>
      <c r="G77" s="3">
        <v>0</v>
      </c>
      <c r="H77" s="31" t="s">
        <v>73</v>
      </c>
      <c r="I77" s="32">
        <v>0</v>
      </c>
      <c r="J77" s="32">
        <v>100</v>
      </c>
      <c r="K77" s="40">
        <v>450</v>
      </c>
      <c r="L77" s="40">
        <v>450</v>
      </c>
      <c r="M77" s="451">
        <f t="shared" ref="M77:M87" si="13">N77-K77</f>
        <v>0</v>
      </c>
      <c r="N77" s="417">
        <v>450</v>
      </c>
    </row>
    <row r="78" spans="1:17" outlineLevel="6" x14ac:dyDescent="0.4">
      <c r="A78" s="70" t="s">
        <v>40</v>
      </c>
      <c r="B78" s="3" t="s">
        <v>447</v>
      </c>
      <c r="C78" s="3" t="s">
        <v>448</v>
      </c>
      <c r="D78" s="3" t="s">
        <v>580</v>
      </c>
      <c r="E78" s="3" t="s">
        <v>526</v>
      </c>
      <c r="F78" s="3" t="s">
        <v>494</v>
      </c>
      <c r="G78" s="3" t="s">
        <v>448</v>
      </c>
      <c r="H78" s="31" t="s">
        <v>496</v>
      </c>
      <c r="I78" s="32">
        <v>0</v>
      </c>
      <c r="J78" s="32">
        <v>84523</v>
      </c>
      <c r="K78" s="40">
        <f>7776+100</f>
        <v>7876</v>
      </c>
      <c r="L78" s="40">
        <v>8222</v>
      </c>
      <c r="M78" s="451">
        <f t="shared" si="13"/>
        <v>346</v>
      </c>
      <c r="N78" s="417">
        <v>8222</v>
      </c>
      <c r="O78" s="29" t="s">
        <v>1460</v>
      </c>
      <c r="Q78" s="509"/>
    </row>
    <row r="79" spans="1:17" outlineLevel="6" x14ac:dyDescent="0.4">
      <c r="A79" s="70">
        <v>10</v>
      </c>
      <c r="B79" s="3">
        <v>100</v>
      </c>
      <c r="C79" s="3">
        <v>0</v>
      </c>
      <c r="D79" s="3">
        <v>11</v>
      </c>
      <c r="E79" s="3">
        <v>210</v>
      </c>
      <c r="F79" s="3">
        <v>200</v>
      </c>
      <c r="G79" s="3">
        <v>0</v>
      </c>
      <c r="H79" s="31" t="s">
        <v>74</v>
      </c>
      <c r="I79" s="32">
        <v>33</v>
      </c>
      <c r="J79" s="32">
        <v>33</v>
      </c>
      <c r="K79" s="40">
        <v>33</v>
      </c>
      <c r="L79" s="40">
        <v>33</v>
      </c>
      <c r="M79" s="451">
        <f t="shared" si="13"/>
        <v>0</v>
      </c>
      <c r="N79" s="417">
        <v>33</v>
      </c>
    </row>
    <row r="80" spans="1:17" outlineLevel="6" x14ac:dyDescent="0.4">
      <c r="A80" s="70">
        <v>10</v>
      </c>
      <c r="B80" s="3">
        <v>100</v>
      </c>
      <c r="C80" s="3">
        <v>0</v>
      </c>
      <c r="D80" s="3">
        <v>11</v>
      </c>
      <c r="E80" s="3">
        <v>215</v>
      </c>
      <c r="F80" s="3">
        <v>200</v>
      </c>
      <c r="G80" s="3">
        <v>0</v>
      </c>
      <c r="H80" s="31" t="s">
        <v>67</v>
      </c>
      <c r="I80" s="32">
        <v>52</v>
      </c>
      <c r="J80" s="32">
        <v>53</v>
      </c>
      <c r="K80" s="40">
        <f>52+1</f>
        <v>53</v>
      </c>
      <c r="L80" s="40">
        <v>53</v>
      </c>
      <c r="M80" s="451">
        <f t="shared" si="13"/>
        <v>0</v>
      </c>
      <c r="N80" s="417">
        <v>53</v>
      </c>
    </row>
    <row r="81" spans="1:17" outlineLevel="6" x14ac:dyDescent="0.4">
      <c r="A81" s="70" t="s">
        <v>40</v>
      </c>
      <c r="B81" s="3" t="s">
        <v>447</v>
      </c>
      <c r="C81" s="3" t="s">
        <v>448</v>
      </c>
      <c r="D81" s="3" t="s">
        <v>580</v>
      </c>
      <c r="E81" s="3" t="s">
        <v>533</v>
      </c>
      <c r="F81" s="3" t="s">
        <v>494</v>
      </c>
      <c r="G81" s="3" t="s">
        <v>448</v>
      </c>
      <c r="H81" s="31" t="s">
        <v>495</v>
      </c>
      <c r="I81" s="32">
        <v>0</v>
      </c>
      <c r="J81" s="32">
        <v>25</v>
      </c>
      <c r="K81" s="40">
        <v>24</v>
      </c>
      <c r="L81" s="40">
        <v>25</v>
      </c>
      <c r="M81" s="451">
        <f t="shared" si="13"/>
        <v>1</v>
      </c>
      <c r="N81" s="417">
        <v>25</v>
      </c>
    </row>
    <row r="82" spans="1:17" outlineLevel="6" x14ac:dyDescent="0.4">
      <c r="A82" s="70">
        <v>10</v>
      </c>
      <c r="B82" s="3">
        <v>100</v>
      </c>
      <c r="C82" s="3">
        <v>0</v>
      </c>
      <c r="D82" s="3">
        <v>11</v>
      </c>
      <c r="E82" s="3">
        <v>221</v>
      </c>
      <c r="F82" s="3">
        <v>200</v>
      </c>
      <c r="G82" s="3">
        <v>0</v>
      </c>
      <c r="H82" s="31" t="s">
        <v>75</v>
      </c>
      <c r="I82" s="32">
        <v>252</v>
      </c>
      <c r="J82" s="32">
        <v>257</v>
      </c>
      <c r="K82" s="40">
        <v>252</v>
      </c>
      <c r="L82" s="40">
        <v>256</v>
      </c>
      <c r="M82" s="451">
        <f t="shared" si="13"/>
        <v>4</v>
      </c>
      <c r="N82" s="417">
        <v>256</v>
      </c>
    </row>
    <row r="83" spans="1:17" outlineLevel="6" x14ac:dyDescent="0.4">
      <c r="A83" s="70" t="s">
        <v>40</v>
      </c>
      <c r="B83" s="3" t="s">
        <v>447</v>
      </c>
      <c r="C83" s="3" t="s">
        <v>448</v>
      </c>
      <c r="D83" s="3" t="s">
        <v>580</v>
      </c>
      <c r="E83" s="3" t="s">
        <v>480</v>
      </c>
      <c r="F83" s="3" t="s">
        <v>494</v>
      </c>
      <c r="G83" s="3" t="s">
        <v>448</v>
      </c>
      <c r="H83" s="31" t="s">
        <v>497</v>
      </c>
      <c r="I83" s="32">
        <v>0</v>
      </c>
      <c r="J83" s="32">
        <v>121</v>
      </c>
      <c r="K83" s="40">
        <f>113+1</f>
        <v>114</v>
      </c>
      <c r="L83" s="40">
        <v>120</v>
      </c>
      <c r="M83" s="451">
        <f t="shared" si="13"/>
        <v>6</v>
      </c>
      <c r="N83" s="417">
        <v>120</v>
      </c>
    </row>
    <row r="84" spans="1:17" outlineLevel="6" x14ac:dyDescent="0.4">
      <c r="A84" s="70">
        <v>10</v>
      </c>
      <c r="B84" s="3">
        <v>100</v>
      </c>
      <c r="C84" s="3">
        <v>0</v>
      </c>
      <c r="D84" s="3">
        <v>11</v>
      </c>
      <c r="E84" s="3">
        <v>230</v>
      </c>
      <c r="F84" s="3">
        <v>200</v>
      </c>
      <c r="G84" s="3">
        <v>0</v>
      </c>
      <c r="H84" s="31" t="s">
        <v>76</v>
      </c>
      <c r="I84" s="32">
        <v>3423</v>
      </c>
      <c r="J84" s="32">
        <v>3561</v>
      </c>
      <c r="K84" s="40">
        <v>3493</v>
      </c>
      <c r="L84" s="40">
        <v>3600</v>
      </c>
      <c r="M84" s="451">
        <f t="shared" si="13"/>
        <v>107</v>
      </c>
      <c r="N84" s="417">
        <v>3600</v>
      </c>
    </row>
    <row r="85" spans="1:17" outlineLevel="6" x14ac:dyDescent="0.4">
      <c r="A85" s="70" t="s">
        <v>40</v>
      </c>
      <c r="B85" s="3" t="s">
        <v>447</v>
      </c>
      <c r="C85" s="3" t="s">
        <v>448</v>
      </c>
      <c r="D85" s="3" t="s">
        <v>580</v>
      </c>
      <c r="E85" s="3" t="s">
        <v>534</v>
      </c>
      <c r="F85" s="3" t="s">
        <v>494</v>
      </c>
      <c r="G85" s="3" t="s">
        <v>448</v>
      </c>
      <c r="H85" s="31" t="s">
        <v>498</v>
      </c>
      <c r="I85" s="32">
        <v>0</v>
      </c>
      <c r="J85" s="32">
        <v>1659</v>
      </c>
      <c r="K85" s="40">
        <v>1567</v>
      </c>
      <c r="L85" s="40">
        <v>1678</v>
      </c>
      <c r="M85" s="451">
        <f t="shared" si="13"/>
        <v>111</v>
      </c>
      <c r="N85" s="417">
        <v>1678</v>
      </c>
    </row>
    <row r="86" spans="1:17" outlineLevel="6" x14ac:dyDescent="0.4">
      <c r="A86" s="70">
        <v>10</v>
      </c>
      <c r="B86" s="3">
        <v>100</v>
      </c>
      <c r="C86" s="3">
        <v>0</v>
      </c>
      <c r="D86" s="3">
        <v>11</v>
      </c>
      <c r="E86" s="3">
        <v>250</v>
      </c>
      <c r="F86" s="3">
        <v>200</v>
      </c>
      <c r="G86" s="3">
        <v>0</v>
      </c>
      <c r="H86" s="31" t="s">
        <v>77</v>
      </c>
      <c r="I86" s="32">
        <v>2858</v>
      </c>
      <c r="J86" s="32">
        <v>2976</v>
      </c>
      <c r="K86" s="40">
        <v>2939.5</v>
      </c>
      <c r="L86" s="40">
        <v>3066</v>
      </c>
      <c r="M86" s="451">
        <f t="shared" si="13"/>
        <v>145.5</v>
      </c>
      <c r="N86" s="417">
        <v>3085</v>
      </c>
    </row>
    <row r="87" spans="1:17" outlineLevel="6" x14ac:dyDescent="0.4">
      <c r="A87" s="70">
        <v>10</v>
      </c>
      <c r="B87" s="3">
        <v>100</v>
      </c>
      <c r="C87" s="3">
        <v>0</v>
      </c>
      <c r="D87" s="3">
        <v>11</v>
      </c>
      <c r="E87" s="3" t="s">
        <v>2287</v>
      </c>
      <c r="F87" s="3" t="s">
        <v>451</v>
      </c>
      <c r="G87" s="3" t="s">
        <v>2285</v>
      </c>
      <c r="H87" s="31" t="s">
        <v>2397</v>
      </c>
      <c r="I87" s="32">
        <v>0</v>
      </c>
      <c r="J87" s="32">
        <v>453</v>
      </c>
      <c r="K87" s="40">
        <v>0</v>
      </c>
      <c r="L87" s="40">
        <v>0</v>
      </c>
      <c r="M87" s="451">
        <f t="shared" si="13"/>
        <v>453</v>
      </c>
      <c r="N87" s="417">
        <v>453</v>
      </c>
    </row>
    <row r="88" spans="1:17" outlineLevel="6" x14ac:dyDescent="0.4">
      <c r="A88" s="70">
        <v>10</v>
      </c>
      <c r="B88" s="3">
        <v>100</v>
      </c>
      <c r="C88" s="3">
        <v>0</v>
      </c>
      <c r="D88" s="3">
        <v>11</v>
      </c>
      <c r="E88" s="3" t="s">
        <v>2287</v>
      </c>
      <c r="F88" s="3" t="s">
        <v>494</v>
      </c>
      <c r="G88" s="3" t="s">
        <v>2285</v>
      </c>
      <c r="H88" s="31" t="s">
        <v>2396</v>
      </c>
      <c r="I88" s="32">
        <v>0</v>
      </c>
      <c r="J88" s="32">
        <v>266</v>
      </c>
      <c r="K88" s="40">
        <v>0</v>
      </c>
      <c r="L88" s="40">
        <v>0</v>
      </c>
      <c r="M88" s="451">
        <f t="shared" ref="M88" si="14">N88-K88</f>
        <v>267</v>
      </c>
      <c r="N88" s="417">
        <v>267</v>
      </c>
      <c r="Q88" s="509"/>
    </row>
    <row r="89" spans="1:17" ht="27" outlineLevel="6" thickBot="1" x14ac:dyDescent="0.45">
      <c r="A89" s="70">
        <v>10</v>
      </c>
      <c r="B89" s="3">
        <v>100</v>
      </c>
      <c r="C89" s="3">
        <v>0</v>
      </c>
      <c r="D89" s="3">
        <v>11</v>
      </c>
      <c r="E89" s="3">
        <v>600</v>
      </c>
      <c r="F89" s="3">
        <v>0</v>
      </c>
      <c r="G89" s="3">
        <v>0</v>
      </c>
      <c r="H89" s="31" t="s">
        <v>78</v>
      </c>
      <c r="I89" s="32">
        <v>19</v>
      </c>
      <c r="J89" s="32">
        <v>108</v>
      </c>
      <c r="K89" s="40">
        <v>300</v>
      </c>
      <c r="L89" s="40">
        <v>300</v>
      </c>
      <c r="M89" s="451">
        <f>N89-K89</f>
        <v>0</v>
      </c>
      <c r="N89" s="417">
        <v>300</v>
      </c>
      <c r="Q89" s="509"/>
    </row>
    <row r="90" spans="1:17" ht="27" outlineLevel="5" thickBot="1" x14ac:dyDescent="0.45">
      <c r="A90" s="71"/>
      <c r="B90" s="6"/>
      <c r="C90" s="6"/>
      <c r="D90" s="9" t="s">
        <v>79</v>
      </c>
      <c r="E90" s="6"/>
      <c r="F90" s="6"/>
      <c r="G90" s="6"/>
      <c r="H90" s="41"/>
      <c r="I90" s="42">
        <f>SUBTOTAL(9,I76:I89)</f>
        <v>24010</v>
      </c>
      <c r="J90" s="42">
        <f>SUBTOTAL(9,J76:J89)</f>
        <v>111771</v>
      </c>
      <c r="K90" s="43">
        <f>SUBTOTAL(9,K76:K89)</f>
        <v>34084</v>
      </c>
      <c r="L90" s="43">
        <f>SUBTOTAL(9,L76:L89)</f>
        <v>34998</v>
      </c>
      <c r="M90" s="453">
        <f>N90-K90</f>
        <v>1653</v>
      </c>
      <c r="N90" s="237">
        <f>SUBTOTAL(9,N76:N89)</f>
        <v>35737</v>
      </c>
    </row>
    <row r="91" spans="1:17" outlineLevel="6" x14ac:dyDescent="0.4">
      <c r="A91" s="70">
        <v>10</v>
      </c>
      <c r="B91" s="3">
        <v>100</v>
      </c>
      <c r="C91" s="3">
        <v>0</v>
      </c>
      <c r="D91" s="3">
        <v>12</v>
      </c>
      <c r="E91" s="3">
        <v>110</v>
      </c>
      <c r="F91" s="3">
        <v>200</v>
      </c>
      <c r="G91" s="3">
        <v>0</v>
      </c>
      <c r="H91" s="31" t="s">
        <v>80</v>
      </c>
      <c r="I91" s="32">
        <v>290</v>
      </c>
      <c r="J91" s="32">
        <v>17536</v>
      </c>
      <c r="K91" s="346">
        <f>16882.5+100</f>
        <v>16982.5</v>
      </c>
      <c r="L91" s="141">
        <v>17195</v>
      </c>
      <c r="M91" s="451">
        <f>N91-K91</f>
        <v>212.5</v>
      </c>
      <c r="N91" s="414">
        <v>17195</v>
      </c>
      <c r="O91" s="29" t="s">
        <v>1459</v>
      </c>
    </row>
    <row r="92" spans="1:17" outlineLevel="6" x14ac:dyDescent="0.4">
      <c r="A92" s="70">
        <v>10</v>
      </c>
      <c r="B92" s="3">
        <v>100</v>
      </c>
      <c r="C92" s="3">
        <v>0</v>
      </c>
      <c r="D92" s="3">
        <v>12</v>
      </c>
      <c r="E92" s="3">
        <v>120</v>
      </c>
      <c r="F92" s="3">
        <v>200</v>
      </c>
      <c r="G92" s="3">
        <v>0</v>
      </c>
      <c r="H92" s="31" t="s">
        <v>81</v>
      </c>
      <c r="I92" s="32">
        <v>100</v>
      </c>
      <c r="J92" s="32">
        <v>150</v>
      </c>
      <c r="K92" s="40">
        <v>450</v>
      </c>
      <c r="L92" s="40">
        <v>450</v>
      </c>
      <c r="M92" s="451">
        <f>N92-K92</f>
        <v>0</v>
      </c>
      <c r="N92" s="417">
        <v>450</v>
      </c>
    </row>
    <row r="93" spans="1:17" outlineLevel="6" x14ac:dyDescent="0.4">
      <c r="A93" s="70" t="s">
        <v>40</v>
      </c>
      <c r="B93" s="3" t="s">
        <v>447</v>
      </c>
      <c r="C93" s="3" t="s">
        <v>448</v>
      </c>
      <c r="D93" s="3" t="s">
        <v>449</v>
      </c>
      <c r="E93" s="3" t="s">
        <v>526</v>
      </c>
      <c r="F93" s="3" t="s">
        <v>494</v>
      </c>
      <c r="G93" s="3" t="s">
        <v>448</v>
      </c>
      <c r="H93" s="31" t="s">
        <v>1246</v>
      </c>
      <c r="I93" s="32">
        <v>0</v>
      </c>
      <c r="J93" s="32">
        <v>8453</v>
      </c>
      <c r="K93" s="40">
        <f>7776+100</f>
        <v>7876</v>
      </c>
      <c r="L93" s="40">
        <v>8222</v>
      </c>
      <c r="M93" s="451">
        <f t="shared" ref="M93:M102" si="15">N93-K93</f>
        <v>346</v>
      </c>
      <c r="N93" s="417">
        <v>8222</v>
      </c>
      <c r="O93" s="29" t="s">
        <v>1460</v>
      </c>
      <c r="Q93" s="509"/>
    </row>
    <row r="94" spans="1:17" outlineLevel="6" x14ac:dyDescent="0.4">
      <c r="A94" s="70" t="s">
        <v>40</v>
      </c>
      <c r="B94" s="3" t="s">
        <v>447</v>
      </c>
      <c r="C94" s="3" t="s">
        <v>448</v>
      </c>
      <c r="D94" s="3" t="s">
        <v>449</v>
      </c>
      <c r="E94" s="3" t="s">
        <v>455</v>
      </c>
      <c r="F94" s="3" t="s">
        <v>451</v>
      </c>
      <c r="G94" s="3" t="s">
        <v>448</v>
      </c>
      <c r="H94" s="31" t="s">
        <v>515</v>
      </c>
      <c r="I94" s="32">
        <v>33</v>
      </c>
      <c r="J94" s="32">
        <v>33</v>
      </c>
      <c r="K94" s="40">
        <v>33</v>
      </c>
      <c r="L94" s="40">
        <v>33</v>
      </c>
      <c r="M94" s="451">
        <f t="shared" si="15"/>
        <v>0</v>
      </c>
      <c r="N94" s="417">
        <v>33</v>
      </c>
    </row>
    <row r="95" spans="1:17" outlineLevel="6" x14ac:dyDescent="0.4">
      <c r="A95" s="70">
        <v>10</v>
      </c>
      <c r="B95" s="3">
        <v>100</v>
      </c>
      <c r="C95" s="3">
        <v>0</v>
      </c>
      <c r="D95" s="3">
        <v>12</v>
      </c>
      <c r="E95" s="3">
        <v>215</v>
      </c>
      <c r="F95" s="3">
        <v>200</v>
      </c>
      <c r="G95" s="3">
        <v>0</v>
      </c>
      <c r="H95" s="31" t="s">
        <v>67</v>
      </c>
      <c r="I95" s="32">
        <v>54</v>
      </c>
      <c r="J95" s="32">
        <v>53</v>
      </c>
      <c r="K95" s="40">
        <v>52</v>
      </c>
      <c r="L95" s="40">
        <v>53</v>
      </c>
      <c r="M95" s="451">
        <f t="shared" si="15"/>
        <v>1</v>
      </c>
      <c r="N95" s="417">
        <v>53</v>
      </c>
    </row>
    <row r="96" spans="1:17" outlineLevel="6" x14ac:dyDescent="0.4">
      <c r="A96" s="70" t="s">
        <v>40</v>
      </c>
      <c r="B96" s="3" t="s">
        <v>447</v>
      </c>
      <c r="C96" s="3" t="s">
        <v>448</v>
      </c>
      <c r="D96" s="3" t="s">
        <v>449</v>
      </c>
      <c r="E96" s="3" t="s">
        <v>533</v>
      </c>
      <c r="F96" s="3" t="s">
        <v>494</v>
      </c>
      <c r="G96" s="3" t="s">
        <v>448</v>
      </c>
      <c r="H96" s="31" t="s">
        <v>495</v>
      </c>
      <c r="I96" s="32">
        <v>0</v>
      </c>
      <c r="J96" s="32">
        <v>25</v>
      </c>
      <c r="K96" s="40">
        <v>24</v>
      </c>
      <c r="L96" s="40">
        <v>25</v>
      </c>
      <c r="M96" s="451">
        <f t="shared" si="15"/>
        <v>1</v>
      </c>
      <c r="N96" s="417">
        <v>25</v>
      </c>
    </row>
    <row r="97" spans="1:17" outlineLevel="6" x14ac:dyDescent="0.4">
      <c r="A97" s="70">
        <v>10</v>
      </c>
      <c r="B97" s="3">
        <v>100</v>
      </c>
      <c r="C97" s="3">
        <v>0</v>
      </c>
      <c r="D97" s="3">
        <v>12</v>
      </c>
      <c r="E97" s="3">
        <v>221</v>
      </c>
      <c r="F97" s="3">
        <v>200</v>
      </c>
      <c r="G97" s="3">
        <v>0</v>
      </c>
      <c r="H97" s="31" t="s">
        <v>82</v>
      </c>
      <c r="I97" s="32">
        <v>260</v>
      </c>
      <c r="J97" s="32">
        <v>256</v>
      </c>
      <c r="K97" s="40">
        <f>252+1</f>
        <v>253</v>
      </c>
      <c r="L97" s="40">
        <v>256</v>
      </c>
      <c r="M97" s="451">
        <f t="shared" si="15"/>
        <v>3</v>
      </c>
      <c r="N97" s="417">
        <v>256</v>
      </c>
    </row>
    <row r="98" spans="1:17" outlineLevel="6" x14ac:dyDescent="0.4">
      <c r="A98" s="70" t="s">
        <v>40</v>
      </c>
      <c r="B98" s="3" t="s">
        <v>447</v>
      </c>
      <c r="C98" s="3" t="s">
        <v>448</v>
      </c>
      <c r="D98" s="3" t="s">
        <v>449</v>
      </c>
      <c r="E98" s="3" t="s">
        <v>480</v>
      </c>
      <c r="F98" s="3" t="s">
        <v>494</v>
      </c>
      <c r="G98" s="3" t="s">
        <v>448</v>
      </c>
      <c r="H98" s="31" t="s">
        <v>1247</v>
      </c>
      <c r="I98" s="32">
        <v>0</v>
      </c>
      <c r="J98" s="32">
        <v>121</v>
      </c>
      <c r="K98" s="40">
        <f>113+1</f>
        <v>114</v>
      </c>
      <c r="L98" s="40">
        <v>120</v>
      </c>
      <c r="M98" s="451">
        <f t="shared" si="15"/>
        <v>6</v>
      </c>
      <c r="N98" s="417">
        <v>120</v>
      </c>
    </row>
    <row r="99" spans="1:17" outlineLevel="6" x14ac:dyDescent="0.4">
      <c r="A99" s="70">
        <v>10</v>
      </c>
      <c r="B99" s="3">
        <v>100</v>
      </c>
      <c r="C99" s="3">
        <v>0</v>
      </c>
      <c r="D99" s="3">
        <v>12</v>
      </c>
      <c r="E99" s="3">
        <v>230</v>
      </c>
      <c r="F99" s="3">
        <v>200</v>
      </c>
      <c r="G99" s="3">
        <v>0</v>
      </c>
      <c r="H99" s="31" t="s">
        <v>83</v>
      </c>
      <c r="I99" s="32">
        <v>3530</v>
      </c>
      <c r="J99" s="32">
        <v>3569</v>
      </c>
      <c r="K99" s="40">
        <v>3493</v>
      </c>
      <c r="L99" s="40">
        <v>3600</v>
      </c>
      <c r="M99" s="451">
        <f t="shared" si="15"/>
        <v>107</v>
      </c>
      <c r="N99" s="417">
        <v>3600</v>
      </c>
    </row>
    <row r="100" spans="1:17" outlineLevel="6" x14ac:dyDescent="0.4">
      <c r="A100" s="70" t="s">
        <v>40</v>
      </c>
      <c r="B100" s="3" t="s">
        <v>447</v>
      </c>
      <c r="C100" s="3" t="s">
        <v>448</v>
      </c>
      <c r="D100" s="3" t="s">
        <v>449</v>
      </c>
      <c r="E100" s="3" t="s">
        <v>534</v>
      </c>
      <c r="F100" s="3" t="s">
        <v>494</v>
      </c>
      <c r="G100" s="3" t="s">
        <v>448</v>
      </c>
      <c r="H100" s="31" t="s">
        <v>1248</v>
      </c>
      <c r="I100" s="32">
        <v>0</v>
      </c>
      <c r="J100" s="32">
        <v>1659</v>
      </c>
      <c r="K100" s="40">
        <v>1567</v>
      </c>
      <c r="L100" s="40">
        <v>1678</v>
      </c>
      <c r="M100" s="451">
        <f t="shared" si="15"/>
        <v>111</v>
      </c>
      <c r="N100" s="417">
        <v>1678</v>
      </c>
    </row>
    <row r="101" spans="1:17" outlineLevel="6" x14ac:dyDescent="0.4">
      <c r="A101" s="70" t="s">
        <v>40</v>
      </c>
      <c r="B101" s="3" t="s">
        <v>447</v>
      </c>
      <c r="C101" s="3" t="s">
        <v>448</v>
      </c>
      <c r="D101" s="3" t="s">
        <v>449</v>
      </c>
      <c r="E101" s="3" t="s">
        <v>450</v>
      </c>
      <c r="F101" s="3" t="s">
        <v>451</v>
      </c>
      <c r="G101" s="3" t="s">
        <v>448</v>
      </c>
      <c r="H101" s="31" t="s">
        <v>452</v>
      </c>
      <c r="I101" s="32">
        <v>2858</v>
      </c>
      <c r="J101" s="32">
        <v>2976</v>
      </c>
      <c r="K101" s="40">
        <v>2939.5</v>
      </c>
      <c r="L101" s="40">
        <v>3066</v>
      </c>
      <c r="M101" s="451">
        <f t="shared" si="15"/>
        <v>145.5</v>
      </c>
      <c r="N101" s="417">
        <v>3085</v>
      </c>
    </row>
    <row r="102" spans="1:17" outlineLevel="6" x14ac:dyDescent="0.4">
      <c r="A102" s="70">
        <v>10</v>
      </c>
      <c r="B102" s="3">
        <v>100</v>
      </c>
      <c r="C102" s="3">
        <v>0</v>
      </c>
      <c r="D102" s="3" t="s">
        <v>449</v>
      </c>
      <c r="E102" s="3" t="s">
        <v>2287</v>
      </c>
      <c r="F102" s="3" t="s">
        <v>451</v>
      </c>
      <c r="G102" s="3" t="s">
        <v>2285</v>
      </c>
      <c r="H102" s="31" t="s">
        <v>2398</v>
      </c>
      <c r="I102" s="32">
        <v>0</v>
      </c>
      <c r="J102" s="32">
        <v>448</v>
      </c>
      <c r="K102" s="40">
        <v>0</v>
      </c>
      <c r="L102" s="40">
        <v>0</v>
      </c>
      <c r="M102" s="451">
        <f t="shared" si="15"/>
        <v>449</v>
      </c>
      <c r="N102" s="417">
        <v>449</v>
      </c>
    </row>
    <row r="103" spans="1:17" outlineLevel="6" x14ac:dyDescent="0.4">
      <c r="A103" s="70">
        <v>10</v>
      </c>
      <c r="B103" s="3">
        <v>100</v>
      </c>
      <c r="C103" s="3">
        <v>0</v>
      </c>
      <c r="D103" s="3" t="s">
        <v>449</v>
      </c>
      <c r="E103" s="3" t="s">
        <v>2287</v>
      </c>
      <c r="F103" s="3" t="s">
        <v>494</v>
      </c>
      <c r="G103" s="3" t="s">
        <v>2285</v>
      </c>
      <c r="H103" s="31" t="s">
        <v>2399</v>
      </c>
      <c r="I103" s="32">
        <v>0</v>
      </c>
      <c r="J103" s="32">
        <v>266</v>
      </c>
      <c r="K103" s="40">
        <v>0</v>
      </c>
      <c r="L103" s="40">
        <v>0</v>
      </c>
      <c r="M103" s="451">
        <f t="shared" ref="M103" si="16">N103-K103</f>
        <v>267</v>
      </c>
      <c r="N103" s="417">
        <v>267</v>
      </c>
      <c r="Q103" s="509"/>
    </row>
    <row r="104" spans="1:17" ht="27" outlineLevel="6" thickBot="1" x14ac:dyDescent="0.45">
      <c r="A104" s="70">
        <v>10</v>
      </c>
      <c r="B104" s="3">
        <v>100</v>
      </c>
      <c r="C104" s="3">
        <v>0</v>
      </c>
      <c r="D104" s="3">
        <v>12</v>
      </c>
      <c r="E104" s="3">
        <v>600</v>
      </c>
      <c r="F104" s="3">
        <v>0</v>
      </c>
      <c r="G104" s="3">
        <v>0</v>
      </c>
      <c r="H104" s="31" t="s">
        <v>84</v>
      </c>
      <c r="I104" s="32">
        <v>123</v>
      </c>
      <c r="J104" s="32">
        <v>97</v>
      </c>
      <c r="K104" s="40">
        <v>300</v>
      </c>
      <c r="L104" s="40">
        <v>300</v>
      </c>
      <c r="M104" s="451">
        <f>N104-K104</f>
        <v>0</v>
      </c>
      <c r="N104" s="417">
        <v>300</v>
      </c>
      <c r="Q104" s="509"/>
    </row>
    <row r="105" spans="1:17" ht="27" outlineLevel="5" thickBot="1" x14ac:dyDescent="0.45">
      <c r="A105" s="71"/>
      <c r="B105" s="6"/>
      <c r="C105" s="6"/>
      <c r="D105" s="9" t="s">
        <v>85</v>
      </c>
      <c r="E105" s="6"/>
      <c r="F105" s="6"/>
      <c r="G105" s="6"/>
      <c r="H105" s="41"/>
      <c r="I105" s="42">
        <f>SUBTOTAL(9,I91:I104)</f>
        <v>7248</v>
      </c>
      <c r="J105" s="42">
        <f>SUBTOTAL(9,J91:J104)</f>
        <v>35642</v>
      </c>
      <c r="K105" s="43">
        <f>SUBTOTAL(9,K91:K104)</f>
        <v>34084</v>
      </c>
      <c r="L105" s="43">
        <f>SUBTOTAL(9,L91:L104)</f>
        <v>34998</v>
      </c>
      <c r="M105" s="152">
        <f>N105-K105</f>
        <v>1649</v>
      </c>
      <c r="N105" s="237">
        <f>SUBTOTAL(9,N91:N104)</f>
        <v>35733</v>
      </c>
    </row>
    <row r="106" spans="1:17" outlineLevel="6" x14ac:dyDescent="0.4">
      <c r="A106" s="70">
        <v>10</v>
      </c>
      <c r="B106" s="3">
        <v>100</v>
      </c>
      <c r="C106" s="3">
        <v>0</v>
      </c>
      <c r="D106" s="3">
        <v>13</v>
      </c>
      <c r="E106" s="3">
        <v>110</v>
      </c>
      <c r="F106" s="3">
        <v>200</v>
      </c>
      <c r="G106" s="3">
        <v>0</v>
      </c>
      <c r="H106" s="31" t="s">
        <v>86</v>
      </c>
      <c r="I106" s="32">
        <v>290</v>
      </c>
      <c r="J106" s="32">
        <v>35740</v>
      </c>
      <c r="K106" s="40">
        <f>35540+200</f>
        <v>35740</v>
      </c>
      <c r="L106" s="40">
        <v>36165</v>
      </c>
      <c r="M106" s="451">
        <f>N106-K106</f>
        <v>425</v>
      </c>
      <c r="N106" s="417">
        <v>36165</v>
      </c>
      <c r="O106" s="29" t="s">
        <v>1458</v>
      </c>
    </row>
    <row r="107" spans="1:17" outlineLevel="6" x14ac:dyDescent="0.4">
      <c r="A107" s="70">
        <v>10</v>
      </c>
      <c r="B107" s="3">
        <v>100</v>
      </c>
      <c r="C107" s="3">
        <v>0</v>
      </c>
      <c r="D107" s="3">
        <v>13</v>
      </c>
      <c r="E107" s="3">
        <v>120</v>
      </c>
      <c r="F107" s="3">
        <v>200</v>
      </c>
      <c r="G107" s="3">
        <v>0</v>
      </c>
      <c r="H107" s="31" t="s">
        <v>87</v>
      </c>
      <c r="I107" s="32">
        <v>100</v>
      </c>
      <c r="J107" s="32">
        <v>802</v>
      </c>
      <c r="K107" s="40">
        <v>900</v>
      </c>
      <c r="L107" s="40">
        <v>900</v>
      </c>
      <c r="M107" s="451">
        <f>N107-K107</f>
        <v>0</v>
      </c>
      <c r="N107" s="417">
        <v>900</v>
      </c>
      <c r="Q107" s="509"/>
    </row>
    <row r="108" spans="1:17" outlineLevel="6" x14ac:dyDescent="0.4">
      <c r="A108" s="70" t="s">
        <v>40</v>
      </c>
      <c r="B108" s="3" t="s">
        <v>447</v>
      </c>
      <c r="C108" s="3" t="s">
        <v>448</v>
      </c>
      <c r="D108" s="3" t="s">
        <v>516</v>
      </c>
      <c r="E108" s="3" t="s">
        <v>455</v>
      </c>
      <c r="F108" s="3" t="s">
        <v>451</v>
      </c>
      <c r="G108" s="3" t="s">
        <v>448</v>
      </c>
      <c r="H108" s="31" t="s">
        <v>517</v>
      </c>
      <c r="I108" s="32">
        <v>33</v>
      </c>
      <c r="J108" s="32">
        <v>65</v>
      </c>
      <c r="K108" s="40">
        <v>66</v>
      </c>
      <c r="L108" s="40">
        <v>66</v>
      </c>
      <c r="M108" s="451">
        <f t="shared" ref="M108:M112" si="17">N108-K108</f>
        <v>0</v>
      </c>
      <c r="N108" s="417">
        <v>66</v>
      </c>
    </row>
    <row r="109" spans="1:17" outlineLevel="6" x14ac:dyDescent="0.4">
      <c r="A109" s="70">
        <v>10</v>
      </c>
      <c r="B109" s="3">
        <v>100</v>
      </c>
      <c r="C109" s="3">
        <v>0</v>
      </c>
      <c r="D109" s="3">
        <v>13</v>
      </c>
      <c r="E109" s="3">
        <v>215</v>
      </c>
      <c r="F109" s="3">
        <v>200</v>
      </c>
      <c r="G109" s="3">
        <v>0</v>
      </c>
      <c r="H109" s="31" t="s">
        <v>67</v>
      </c>
      <c r="I109" s="32">
        <v>54</v>
      </c>
      <c r="J109" s="32">
        <v>109</v>
      </c>
      <c r="K109" s="40">
        <f>109+1</f>
        <v>110</v>
      </c>
      <c r="L109" s="40">
        <v>112</v>
      </c>
      <c r="M109" s="451">
        <f t="shared" si="17"/>
        <v>2</v>
      </c>
      <c r="N109" s="417">
        <v>112</v>
      </c>
    </row>
    <row r="110" spans="1:17" outlineLevel="6" x14ac:dyDescent="0.4">
      <c r="A110" s="70">
        <v>10</v>
      </c>
      <c r="B110" s="3">
        <v>100</v>
      </c>
      <c r="C110" s="3">
        <v>0</v>
      </c>
      <c r="D110" s="3">
        <v>13</v>
      </c>
      <c r="E110" s="3">
        <v>221</v>
      </c>
      <c r="F110" s="3">
        <v>200</v>
      </c>
      <c r="G110" s="3">
        <v>0</v>
      </c>
      <c r="H110" s="31" t="s">
        <v>88</v>
      </c>
      <c r="I110" s="32">
        <v>260</v>
      </c>
      <c r="J110" s="32">
        <v>528</v>
      </c>
      <c r="K110" s="40">
        <f>529+3</f>
        <v>532</v>
      </c>
      <c r="L110" s="40">
        <v>538</v>
      </c>
      <c r="M110" s="451">
        <f t="shared" si="17"/>
        <v>6</v>
      </c>
      <c r="N110" s="417">
        <v>538</v>
      </c>
    </row>
    <row r="111" spans="1:17" outlineLevel="6" x14ac:dyDescent="0.4">
      <c r="A111" s="70">
        <v>10</v>
      </c>
      <c r="B111" s="3">
        <v>100</v>
      </c>
      <c r="C111" s="3">
        <v>0</v>
      </c>
      <c r="D111" s="3">
        <v>13</v>
      </c>
      <c r="E111" s="3">
        <v>230</v>
      </c>
      <c r="F111" s="3">
        <v>200</v>
      </c>
      <c r="G111" s="3">
        <v>0</v>
      </c>
      <c r="H111" s="31" t="s">
        <v>89</v>
      </c>
      <c r="I111" s="32">
        <v>3530</v>
      </c>
      <c r="J111" s="32">
        <v>7317</v>
      </c>
      <c r="K111" s="40">
        <v>7343</v>
      </c>
      <c r="L111" s="40">
        <v>7562</v>
      </c>
      <c r="M111" s="451">
        <f t="shared" si="17"/>
        <v>219</v>
      </c>
      <c r="N111" s="417">
        <v>7562</v>
      </c>
    </row>
    <row r="112" spans="1:17" outlineLevel="6" x14ac:dyDescent="0.4">
      <c r="A112" s="70" t="s">
        <v>40</v>
      </c>
      <c r="B112" s="3" t="s">
        <v>447</v>
      </c>
      <c r="C112" s="3" t="s">
        <v>448</v>
      </c>
      <c r="D112" s="3" t="s">
        <v>516</v>
      </c>
      <c r="E112" s="3" t="s">
        <v>450</v>
      </c>
      <c r="F112" s="3" t="s">
        <v>451</v>
      </c>
      <c r="G112" s="3" t="s">
        <v>448</v>
      </c>
      <c r="H112" s="31" t="s">
        <v>518</v>
      </c>
      <c r="I112" s="32">
        <v>2858</v>
      </c>
      <c r="J112" s="32">
        <v>5951</v>
      </c>
      <c r="K112" s="40">
        <v>5879</v>
      </c>
      <c r="L112" s="40">
        <v>6132</v>
      </c>
      <c r="M112" s="451">
        <f t="shared" si="17"/>
        <v>290</v>
      </c>
      <c r="N112" s="417">
        <v>6169</v>
      </c>
    </row>
    <row r="113" spans="1:17" outlineLevel="6" x14ac:dyDescent="0.4">
      <c r="A113" s="70" t="s">
        <v>40</v>
      </c>
      <c r="B113" s="3" t="s">
        <v>447</v>
      </c>
      <c r="C113" s="3" t="s">
        <v>448</v>
      </c>
      <c r="D113" s="3" t="s">
        <v>516</v>
      </c>
      <c r="E113" s="3" t="s">
        <v>2287</v>
      </c>
      <c r="F113" s="3" t="s">
        <v>451</v>
      </c>
      <c r="G113" s="3" t="s">
        <v>2285</v>
      </c>
      <c r="H113" s="31" t="s">
        <v>2400</v>
      </c>
      <c r="I113" s="32">
        <v>0</v>
      </c>
      <c r="J113" s="32">
        <v>963</v>
      </c>
      <c r="K113" s="40">
        <v>0</v>
      </c>
      <c r="L113" s="40">
        <v>0</v>
      </c>
      <c r="M113" s="451">
        <f t="shared" ref="M113" si="18">N113-K113</f>
        <v>963</v>
      </c>
      <c r="N113" s="417">
        <v>963</v>
      </c>
      <c r="Q113" s="509"/>
    </row>
    <row r="114" spans="1:17" ht="27" outlineLevel="6" thickBot="1" x14ac:dyDescent="0.45">
      <c r="A114" s="70">
        <v>10</v>
      </c>
      <c r="B114" s="3">
        <v>100</v>
      </c>
      <c r="C114" s="3">
        <v>0</v>
      </c>
      <c r="D114" s="3">
        <v>13</v>
      </c>
      <c r="E114" s="3">
        <v>600</v>
      </c>
      <c r="F114" s="3">
        <v>0</v>
      </c>
      <c r="G114" s="3">
        <v>0</v>
      </c>
      <c r="H114" s="31" t="s">
        <v>90</v>
      </c>
      <c r="I114" s="32">
        <v>465</v>
      </c>
      <c r="J114" s="32">
        <v>311</v>
      </c>
      <c r="K114" s="40">
        <v>300</v>
      </c>
      <c r="L114" s="40">
        <v>300</v>
      </c>
      <c r="M114" s="451">
        <f>N114-K114</f>
        <v>0</v>
      </c>
      <c r="N114" s="417">
        <v>300</v>
      </c>
      <c r="Q114" s="509"/>
    </row>
    <row r="115" spans="1:17" ht="27" outlineLevel="5" thickBot="1" x14ac:dyDescent="0.45">
      <c r="A115" s="71"/>
      <c r="B115" s="6"/>
      <c r="C115" s="6"/>
      <c r="D115" s="9" t="s">
        <v>91</v>
      </c>
      <c r="E115" s="6"/>
      <c r="F115" s="6"/>
      <c r="G115" s="6"/>
      <c r="H115" s="41"/>
      <c r="I115" s="42">
        <f>SUBTOTAL(9,I106:I114)</f>
        <v>7590</v>
      </c>
      <c r="J115" s="42">
        <f>SUBTOTAL(9,J106:J114)</f>
        <v>51786</v>
      </c>
      <c r="K115" s="43">
        <f>SUBTOTAL(9,K106:K114)</f>
        <v>50870</v>
      </c>
      <c r="L115" s="43">
        <f>SUBTOTAL(9,L106:L114)</f>
        <v>51775</v>
      </c>
      <c r="M115" s="453">
        <f>N115-K115</f>
        <v>1905</v>
      </c>
      <c r="N115" s="237">
        <f>SUBTOTAL(9,N106:N114)</f>
        <v>52775</v>
      </c>
    </row>
    <row r="116" spans="1:17" outlineLevel="6" x14ac:dyDescent="0.4">
      <c r="A116" s="70">
        <v>10</v>
      </c>
      <c r="B116" s="3">
        <v>100</v>
      </c>
      <c r="C116" s="3">
        <v>0</v>
      </c>
      <c r="D116" s="3">
        <v>14</v>
      </c>
      <c r="E116" s="3">
        <v>110</v>
      </c>
      <c r="F116" s="3">
        <v>200</v>
      </c>
      <c r="G116" s="3">
        <v>0</v>
      </c>
      <c r="H116" s="31" t="s">
        <v>92</v>
      </c>
      <c r="I116" s="32">
        <v>250</v>
      </c>
      <c r="J116" s="32">
        <v>36515</v>
      </c>
      <c r="K116" s="40">
        <f>36315+200</f>
        <v>36515</v>
      </c>
      <c r="L116" s="40">
        <v>36940</v>
      </c>
      <c r="M116" s="451">
        <f>N116-K116</f>
        <v>425</v>
      </c>
      <c r="N116" s="417">
        <v>36940</v>
      </c>
      <c r="O116" s="29" t="s">
        <v>1457</v>
      </c>
    </row>
    <row r="117" spans="1:17" outlineLevel="6" x14ac:dyDescent="0.4">
      <c r="A117" s="70">
        <v>10</v>
      </c>
      <c r="B117" s="3">
        <v>100</v>
      </c>
      <c r="C117" s="3">
        <v>0</v>
      </c>
      <c r="D117" s="3">
        <v>14</v>
      </c>
      <c r="E117" s="3">
        <v>120</v>
      </c>
      <c r="F117" s="3">
        <v>200</v>
      </c>
      <c r="G117" s="3">
        <v>0</v>
      </c>
      <c r="H117" s="31" t="s">
        <v>93</v>
      </c>
      <c r="I117" s="32">
        <v>350</v>
      </c>
      <c r="J117" s="32">
        <v>200</v>
      </c>
      <c r="K117" s="40">
        <v>900</v>
      </c>
      <c r="L117" s="40">
        <v>900</v>
      </c>
      <c r="M117" s="451">
        <f>N117-K117</f>
        <v>0</v>
      </c>
      <c r="N117" s="417">
        <v>900</v>
      </c>
      <c r="Q117" s="509"/>
    </row>
    <row r="118" spans="1:17" outlineLevel="6" x14ac:dyDescent="0.4">
      <c r="A118" s="70" t="s">
        <v>40</v>
      </c>
      <c r="B118" s="3" t="s">
        <v>447</v>
      </c>
      <c r="C118" s="3" t="s">
        <v>448</v>
      </c>
      <c r="D118" s="3" t="s">
        <v>519</v>
      </c>
      <c r="E118" s="3" t="s">
        <v>455</v>
      </c>
      <c r="F118" s="3" t="s">
        <v>451</v>
      </c>
      <c r="G118" s="3" t="s">
        <v>448</v>
      </c>
      <c r="H118" s="31" t="s">
        <v>520</v>
      </c>
      <c r="I118" s="32">
        <v>33</v>
      </c>
      <c r="J118" s="32">
        <v>65</v>
      </c>
      <c r="K118" s="40">
        <v>66</v>
      </c>
      <c r="L118" s="40">
        <v>66</v>
      </c>
      <c r="M118" s="451">
        <f t="shared" ref="M118:M122" si="19">N118-K118</f>
        <v>0</v>
      </c>
      <c r="N118" s="417">
        <v>66</v>
      </c>
    </row>
    <row r="119" spans="1:17" outlineLevel="6" x14ac:dyDescent="0.4">
      <c r="A119" s="70">
        <v>10</v>
      </c>
      <c r="B119" s="3">
        <v>100</v>
      </c>
      <c r="C119" s="3">
        <v>0</v>
      </c>
      <c r="D119" s="3">
        <v>14</v>
      </c>
      <c r="E119" s="3">
        <v>215</v>
      </c>
      <c r="F119" s="3">
        <v>200</v>
      </c>
      <c r="G119" s="3">
        <v>0</v>
      </c>
      <c r="H119" s="31" t="s">
        <v>67</v>
      </c>
      <c r="I119" s="32">
        <v>50</v>
      </c>
      <c r="J119" s="32">
        <v>93</v>
      </c>
      <c r="K119" s="40">
        <f>112+1</f>
        <v>113</v>
      </c>
      <c r="L119" s="40">
        <v>114</v>
      </c>
      <c r="M119" s="451">
        <f t="shared" si="19"/>
        <v>1</v>
      </c>
      <c r="N119" s="417">
        <v>114</v>
      </c>
    </row>
    <row r="120" spans="1:17" outlineLevel="6" x14ac:dyDescent="0.4">
      <c r="A120" s="70">
        <v>10</v>
      </c>
      <c r="B120" s="3">
        <v>100</v>
      </c>
      <c r="C120" s="3">
        <v>0</v>
      </c>
      <c r="D120" s="3">
        <v>14</v>
      </c>
      <c r="E120" s="3">
        <v>221</v>
      </c>
      <c r="F120" s="3">
        <v>200</v>
      </c>
      <c r="G120" s="3">
        <v>0</v>
      </c>
      <c r="H120" s="31" t="s">
        <v>94</v>
      </c>
      <c r="I120" s="32">
        <v>240</v>
      </c>
      <c r="J120" s="32">
        <v>448</v>
      </c>
      <c r="K120" s="40">
        <f>540+3</f>
        <v>543</v>
      </c>
      <c r="L120" s="40">
        <v>549</v>
      </c>
      <c r="M120" s="451">
        <f t="shared" si="19"/>
        <v>6</v>
      </c>
      <c r="N120" s="417">
        <v>549</v>
      </c>
    </row>
    <row r="121" spans="1:17" outlineLevel="6" x14ac:dyDescent="0.4">
      <c r="A121" s="70">
        <v>10</v>
      </c>
      <c r="B121" s="3">
        <v>100</v>
      </c>
      <c r="C121" s="3">
        <v>0</v>
      </c>
      <c r="D121" s="3">
        <v>14</v>
      </c>
      <c r="E121" s="3">
        <v>230</v>
      </c>
      <c r="F121" s="3">
        <v>200</v>
      </c>
      <c r="G121" s="3">
        <v>0</v>
      </c>
      <c r="H121" s="31" t="s">
        <v>95</v>
      </c>
      <c r="I121" s="32">
        <v>3259</v>
      </c>
      <c r="J121" s="32">
        <v>6193</v>
      </c>
      <c r="K121" s="40">
        <v>7499</v>
      </c>
      <c r="L121" s="40">
        <v>7720</v>
      </c>
      <c r="M121" s="451">
        <f t="shared" si="19"/>
        <v>221</v>
      </c>
      <c r="N121" s="417">
        <v>7720</v>
      </c>
    </row>
    <row r="122" spans="1:17" outlineLevel="6" x14ac:dyDescent="0.4">
      <c r="A122" s="70">
        <v>10</v>
      </c>
      <c r="B122" s="3">
        <v>100</v>
      </c>
      <c r="C122" s="3">
        <v>0</v>
      </c>
      <c r="D122" s="3">
        <v>14</v>
      </c>
      <c r="E122" s="3">
        <v>250</v>
      </c>
      <c r="F122" s="3">
        <v>200</v>
      </c>
      <c r="G122" s="3">
        <v>0</v>
      </c>
      <c r="H122" s="31" t="s">
        <v>96</v>
      </c>
      <c r="I122" s="32">
        <v>2858</v>
      </c>
      <c r="J122" s="32">
        <v>5951</v>
      </c>
      <c r="K122" s="40">
        <v>5879</v>
      </c>
      <c r="L122" s="40">
        <v>6132</v>
      </c>
      <c r="M122" s="451">
        <f t="shared" si="19"/>
        <v>290</v>
      </c>
      <c r="N122" s="417">
        <v>6169</v>
      </c>
    </row>
    <row r="123" spans="1:17" outlineLevel="6" x14ac:dyDescent="0.4">
      <c r="A123" s="70">
        <v>10</v>
      </c>
      <c r="B123" s="3">
        <v>100</v>
      </c>
      <c r="C123" s="3">
        <v>0</v>
      </c>
      <c r="D123" s="3">
        <v>14</v>
      </c>
      <c r="E123" s="3" t="s">
        <v>2287</v>
      </c>
      <c r="F123" s="3">
        <v>200</v>
      </c>
      <c r="G123" s="3" t="s">
        <v>2285</v>
      </c>
      <c r="H123" s="31" t="s">
        <v>2401</v>
      </c>
      <c r="I123" s="32">
        <v>0</v>
      </c>
      <c r="J123" s="32">
        <v>979</v>
      </c>
      <c r="K123" s="40">
        <v>0</v>
      </c>
      <c r="L123" s="40">
        <v>0</v>
      </c>
      <c r="M123" s="451">
        <f t="shared" ref="M123" si="20">N123-K123</f>
        <v>980</v>
      </c>
      <c r="N123" s="417">
        <v>980</v>
      </c>
      <c r="Q123" s="509"/>
    </row>
    <row r="124" spans="1:17" ht="27" outlineLevel="6" thickBot="1" x14ac:dyDescent="0.45">
      <c r="A124" s="70">
        <v>10</v>
      </c>
      <c r="B124" s="3">
        <v>100</v>
      </c>
      <c r="C124" s="3">
        <v>0</v>
      </c>
      <c r="D124" s="3">
        <v>14</v>
      </c>
      <c r="E124" s="3">
        <v>600</v>
      </c>
      <c r="F124" s="3">
        <v>0</v>
      </c>
      <c r="G124" s="3">
        <v>0</v>
      </c>
      <c r="H124" s="31" t="s">
        <v>97</v>
      </c>
      <c r="I124" s="32">
        <v>205</v>
      </c>
      <c r="J124" s="32">
        <v>0</v>
      </c>
      <c r="K124" s="40">
        <v>300</v>
      </c>
      <c r="L124" s="40">
        <v>300</v>
      </c>
      <c r="M124" s="451">
        <f>N124-K124</f>
        <v>0</v>
      </c>
      <c r="N124" s="417">
        <v>300</v>
      </c>
      <c r="Q124" s="509"/>
    </row>
    <row r="125" spans="1:17" ht="27" outlineLevel="5" thickBot="1" x14ac:dyDescent="0.45">
      <c r="A125" s="71"/>
      <c r="B125" s="6"/>
      <c r="C125" s="6"/>
      <c r="D125" s="9" t="s">
        <v>98</v>
      </c>
      <c r="E125" s="6"/>
      <c r="F125" s="6"/>
      <c r="G125" s="6"/>
      <c r="H125" s="41"/>
      <c r="I125" s="42">
        <f>SUBTOTAL(9,I116:I124)</f>
        <v>7245</v>
      </c>
      <c r="J125" s="42">
        <f>SUBTOTAL(9,J116:J124)</f>
        <v>50444</v>
      </c>
      <c r="K125" s="43">
        <f>SUBTOTAL(9,K116:K124)</f>
        <v>51815</v>
      </c>
      <c r="L125" s="43">
        <f>SUBTOTAL(9,L116:L124)</f>
        <v>52721</v>
      </c>
      <c r="M125" s="453">
        <f>N125-K125</f>
        <v>1923</v>
      </c>
      <c r="N125" s="237">
        <f>SUBTOTAL(9,N116:N124)</f>
        <v>53738</v>
      </c>
    </row>
    <row r="126" spans="1:17" outlineLevel="6" x14ac:dyDescent="0.4">
      <c r="A126" s="70">
        <v>10</v>
      </c>
      <c r="B126" s="3">
        <v>100</v>
      </c>
      <c r="C126" s="3">
        <v>0</v>
      </c>
      <c r="D126" s="3">
        <v>15</v>
      </c>
      <c r="E126" s="3">
        <v>110</v>
      </c>
      <c r="F126" s="3">
        <v>200</v>
      </c>
      <c r="G126" s="3">
        <v>0</v>
      </c>
      <c r="H126" s="31" t="s">
        <v>99</v>
      </c>
      <c r="I126" s="32">
        <v>10324</v>
      </c>
      <c r="J126" s="32">
        <v>23690</v>
      </c>
      <c r="K126" s="40">
        <f>23490+200</f>
        <v>23690</v>
      </c>
      <c r="L126" s="40">
        <f>33115-15000</f>
        <v>18115</v>
      </c>
      <c r="M126" s="451">
        <f>N126-K126</f>
        <v>-7575</v>
      </c>
      <c r="N126" s="417">
        <v>16115</v>
      </c>
      <c r="O126" s="29" t="s">
        <v>2292</v>
      </c>
    </row>
    <row r="127" spans="1:17" outlineLevel="6" x14ac:dyDescent="0.4">
      <c r="A127" s="70">
        <v>10</v>
      </c>
      <c r="B127" s="3">
        <v>100</v>
      </c>
      <c r="C127" s="3">
        <v>0</v>
      </c>
      <c r="D127" s="3">
        <v>15</v>
      </c>
      <c r="E127" s="3">
        <v>120</v>
      </c>
      <c r="F127" s="3">
        <v>200</v>
      </c>
      <c r="G127" s="3">
        <v>0</v>
      </c>
      <c r="H127" s="31" t="s">
        <v>100</v>
      </c>
      <c r="I127" s="32">
        <v>350</v>
      </c>
      <c r="J127" s="32">
        <v>988</v>
      </c>
      <c r="K127" s="40">
        <v>900</v>
      </c>
      <c r="L127" s="40">
        <v>900</v>
      </c>
      <c r="M127" s="451">
        <f>N127-K127</f>
        <v>0</v>
      </c>
      <c r="N127" s="417">
        <v>900</v>
      </c>
      <c r="Q127" s="509"/>
    </row>
    <row r="128" spans="1:17" outlineLevel="6" x14ac:dyDescent="0.4">
      <c r="A128" s="70" t="s">
        <v>40</v>
      </c>
      <c r="B128" s="3" t="s">
        <v>447</v>
      </c>
      <c r="C128" s="3" t="s">
        <v>448</v>
      </c>
      <c r="D128" s="3" t="s">
        <v>521</v>
      </c>
      <c r="E128" s="3" t="s">
        <v>455</v>
      </c>
      <c r="F128" s="3" t="s">
        <v>451</v>
      </c>
      <c r="G128" s="3" t="s">
        <v>448</v>
      </c>
      <c r="H128" s="31" t="s">
        <v>522</v>
      </c>
      <c r="I128" s="32">
        <v>33</v>
      </c>
      <c r="J128" s="32">
        <v>65</v>
      </c>
      <c r="K128" s="40">
        <v>66</v>
      </c>
      <c r="L128" s="40">
        <v>66</v>
      </c>
      <c r="M128" s="451">
        <f t="shared" ref="M128:M132" si="21">N128-K128</f>
        <v>0</v>
      </c>
      <c r="N128" s="417">
        <v>66</v>
      </c>
    </row>
    <row r="129" spans="1:17" outlineLevel="6" x14ac:dyDescent="0.4">
      <c r="A129" s="70">
        <v>10</v>
      </c>
      <c r="B129" s="3">
        <v>100</v>
      </c>
      <c r="C129" s="3">
        <v>0</v>
      </c>
      <c r="D129" s="3">
        <v>15</v>
      </c>
      <c r="E129" s="3">
        <v>215</v>
      </c>
      <c r="F129" s="3">
        <v>200</v>
      </c>
      <c r="G129" s="3">
        <v>0</v>
      </c>
      <c r="H129" s="31" t="s">
        <v>67</v>
      </c>
      <c r="I129" s="32">
        <v>50</v>
      </c>
      <c r="J129" s="32">
        <v>101</v>
      </c>
      <c r="K129" s="40">
        <f>101+1</f>
        <v>102</v>
      </c>
      <c r="L129" s="40">
        <v>103</v>
      </c>
      <c r="M129" s="451">
        <f t="shared" si="21"/>
        <v>1</v>
      </c>
      <c r="N129" s="417">
        <v>103</v>
      </c>
    </row>
    <row r="130" spans="1:17" outlineLevel="6" x14ac:dyDescent="0.4">
      <c r="A130" s="70">
        <v>10</v>
      </c>
      <c r="B130" s="3">
        <v>100</v>
      </c>
      <c r="C130" s="3">
        <v>0</v>
      </c>
      <c r="D130" s="3">
        <v>15</v>
      </c>
      <c r="E130" s="3">
        <v>221</v>
      </c>
      <c r="F130" s="3">
        <v>200</v>
      </c>
      <c r="G130" s="3">
        <v>0</v>
      </c>
      <c r="H130" s="31" t="s">
        <v>101</v>
      </c>
      <c r="I130" s="32">
        <v>240</v>
      </c>
      <c r="J130" s="32">
        <v>489</v>
      </c>
      <c r="K130" s="40">
        <f>485+3</f>
        <v>488</v>
      </c>
      <c r="L130" s="40">
        <v>494</v>
      </c>
      <c r="M130" s="451">
        <f t="shared" si="21"/>
        <v>6</v>
      </c>
      <c r="N130" s="417">
        <v>494</v>
      </c>
    </row>
    <row r="131" spans="1:17" outlineLevel="6" x14ac:dyDescent="0.4">
      <c r="A131" s="70">
        <v>10</v>
      </c>
      <c r="B131" s="3">
        <v>100</v>
      </c>
      <c r="C131" s="3">
        <v>0</v>
      </c>
      <c r="D131" s="3">
        <v>15</v>
      </c>
      <c r="E131" s="3">
        <v>230</v>
      </c>
      <c r="F131" s="3">
        <v>200</v>
      </c>
      <c r="G131" s="3">
        <v>0</v>
      </c>
      <c r="H131" s="31" t="s">
        <v>102</v>
      </c>
      <c r="I131" s="32">
        <v>3259</v>
      </c>
      <c r="J131" s="32">
        <v>6768</v>
      </c>
      <c r="K131" s="348">
        <v>6729</v>
      </c>
      <c r="L131" s="40">
        <v>6940</v>
      </c>
      <c r="M131" s="451">
        <f t="shared" si="21"/>
        <v>211</v>
      </c>
      <c r="N131" s="415">
        <v>6940</v>
      </c>
    </row>
    <row r="132" spans="1:17" outlineLevel="6" x14ac:dyDescent="0.4">
      <c r="A132" s="70">
        <v>10</v>
      </c>
      <c r="B132" s="3">
        <v>100</v>
      </c>
      <c r="C132" s="3">
        <v>0</v>
      </c>
      <c r="D132" s="3">
        <v>15</v>
      </c>
      <c r="E132" s="3" t="s">
        <v>450</v>
      </c>
      <c r="F132" s="3">
        <v>200</v>
      </c>
      <c r="G132" s="3">
        <v>0</v>
      </c>
      <c r="H132" s="31" t="s">
        <v>453</v>
      </c>
      <c r="I132" s="32">
        <v>2858</v>
      </c>
      <c r="J132" s="32">
        <v>5951</v>
      </c>
      <c r="K132" s="348">
        <v>5879</v>
      </c>
      <c r="L132" s="40">
        <v>6132</v>
      </c>
      <c r="M132" s="451">
        <f t="shared" si="21"/>
        <v>290</v>
      </c>
      <c r="N132" s="415">
        <v>6169</v>
      </c>
    </row>
    <row r="133" spans="1:17" outlineLevel="6" x14ac:dyDescent="0.4">
      <c r="A133" s="70">
        <v>10</v>
      </c>
      <c r="B133" s="3">
        <v>100</v>
      </c>
      <c r="C133" s="3">
        <v>0</v>
      </c>
      <c r="D133" s="3">
        <v>15</v>
      </c>
      <c r="E133" s="3" t="s">
        <v>2287</v>
      </c>
      <c r="F133" s="3" t="s">
        <v>451</v>
      </c>
      <c r="G133" s="3" t="s">
        <v>2285</v>
      </c>
      <c r="H133" s="31" t="s">
        <v>2402</v>
      </c>
      <c r="I133" s="32">
        <v>0</v>
      </c>
      <c r="J133" s="32">
        <v>894</v>
      </c>
      <c r="K133" s="348">
        <v>0</v>
      </c>
      <c r="L133" s="40">
        <v>0</v>
      </c>
      <c r="M133" s="451">
        <f t="shared" ref="M133" si="22">N133-K133</f>
        <v>640</v>
      </c>
      <c r="N133" s="415">
        <v>640</v>
      </c>
      <c r="Q133" s="509"/>
    </row>
    <row r="134" spans="1:17" ht="27" outlineLevel="6" thickBot="1" x14ac:dyDescent="0.45">
      <c r="A134" s="70">
        <v>10</v>
      </c>
      <c r="B134" s="3">
        <v>100</v>
      </c>
      <c r="C134" s="3">
        <v>0</v>
      </c>
      <c r="D134" s="3">
        <v>15</v>
      </c>
      <c r="E134" s="3">
        <v>600</v>
      </c>
      <c r="F134" s="3">
        <v>0</v>
      </c>
      <c r="G134" s="3">
        <v>0</v>
      </c>
      <c r="H134" s="31" t="s">
        <v>103</v>
      </c>
      <c r="I134" s="32">
        <v>150</v>
      </c>
      <c r="J134" s="32">
        <v>326</v>
      </c>
      <c r="K134" s="147">
        <v>300</v>
      </c>
      <c r="L134" s="40">
        <v>300</v>
      </c>
      <c r="M134" s="451">
        <f>N134-K134</f>
        <v>0</v>
      </c>
      <c r="N134" s="418">
        <v>300</v>
      </c>
      <c r="Q134" s="509"/>
    </row>
    <row r="135" spans="1:17" ht="27" outlineLevel="5" thickBot="1" x14ac:dyDescent="0.45">
      <c r="A135" s="71"/>
      <c r="B135" s="6"/>
      <c r="C135" s="6"/>
      <c r="D135" s="9" t="s">
        <v>104</v>
      </c>
      <c r="E135" s="6"/>
      <c r="F135" s="6"/>
      <c r="G135" s="6"/>
      <c r="H135" s="41"/>
      <c r="I135" s="42">
        <f>SUBTOTAL(9,I126:I134)</f>
        <v>17264</v>
      </c>
      <c r="J135" s="42">
        <f>SUBTOTAL(9,J126:J134)</f>
        <v>39272</v>
      </c>
      <c r="K135" s="43">
        <f>SUBTOTAL(9,K126:K134)</f>
        <v>38154</v>
      </c>
      <c r="L135" s="43">
        <f>SUBTOTAL(9,L126:L134)</f>
        <v>33050</v>
      </c>
      <c r="M135" s="453">
        <f>N135-K135</f>
        <v>-6427</v>
      </c>
      <c r="N135" s="237">
        <f>SUBTOTAL(9,N126:N134)</f>
        <v>31727</v>
      </c>
    </row>
    <row r="136" spans="1:17" outlineLevel="6" x14ac:dyDescent="0.4">
      <c r="A136" s="70">
        <v>10</v>
      </c>
      <c r="B136" s="3">
        <v>100</v>
      </c>
      <c r="C136" s="3">
        <v>0</v>
      </c>
      <c r="D136" s="3" t="s">
        <v>535</v>
      </c>
      <c r="E136" s="3">
        <v>110</v>
      </c>
      <c r="F136" s="3">
        <v>200</v>
      </c>
      <c r="G136" s="3">
        <v>0</v>
      </c>
      <c r="H136" s="31" t="s">
        <v>1487</v>
      </c>
      <c r="I136" s="32">
        <v>0</v>
      </c>
      <c r="J136" s="32">
        <v>0</v>
      </c>
      <c r="K136" s="40">
        <v>0</v>
      </c>
      <c r="L136" s="40">
        <v>11964</v>
      </c>
      <c r="M136" s="451">
        <f>N136-K136</f>
        <v>12030</v>
      </c>
      <c r="N136" s="417">
        <v>12030</v>
      </c>
      <c r="O136" s="29" t="s">
        <v>1495</v>
      </c>
    </row>
    <row r="137" spans="1:17" outlineLevel="6" x14ac:dyDescent="0.4">
      <c r="A137" s="70">
        <v>10</v>
      </c>
      <c r="B137" s="3">
        <v>100</v>
      </c>
      <c r="C137" s="3">
        <v>0</v>
      </c>
      <c r="D137" s="3" t="s">
        <v>535</v>
      </c>
      <c r="E137" s="3">
        <v>120</v>
      </c>
      <c r="F137" s="3">
        <v>200</v>
      </c>
      <c r="G137" s="3">
        <v>0</v>
      </c>
      <c r="H137" s="31" t="s">
        <v>1488</v>
      </c>
      <c r="I137" s="32">
        <v>0</v>
      </c>
      <c r="J137" s="32">
        <v>0</v>
      </c>
      <c r="K137" s="40">
        <v>0</v>
      </c>
      <c r="L137" s="40">
        <v>300</v>
      </c>
      <c r="M137" s="451">
        <f>N137-K137</f>
        <v>300</v>
      </c>
      <c r="N137" s="417">
        <v>300</v>
      </c>
      <c r="Q137" s="509"/>
    </row>
    <row r="138" spans="1:17" outlineLevel="6" x14ac:dyDescent="0.4">
      <c r="A138" s="70" t="s">
        <v>40</v>
      </c>
      <c r="B138" s="3" t="s">
        <v>447</v>
      </c>
      <c r="C138" s="3" t="s">
        <v>448</v>
      </c>
      <c r="D138" s="3" t="s">
        <v>535</v>
      </c>
      <c r="E138" s="3" t="s">
        <v>455</v>
      </c>
      <c r="F138" s="3" t="s">
        <v>451</v>
      </c>
      <c r="G138" s="3" t="s">
        <v>448</v>
      </c>
      <c r="H138" s="31" t="s">
        <v>1489</v>
      </c>
      <c r="I138" s="32">
        <v>0</v>
      </c>
      <c r="J138" s="32">
        <v>0</v>
      </c>
      <c r="K138" s="40">
        <v>0</v>
      </c>
      <c r="L138" s="40">
        <v>22</v>
      </c>
      <c r="M138" s="451">
        <f t="shared" ref="M138:M142" si="23">N138-K138</f>
        <v>22</v>
      </c>
      <c r="N138" s="417">
        <v>22</v>
      </c>
    </row>
    <row r="139" spans="1:17" outlineLevel="6" x14ac:dyDescent="0.4">
      <c r="A139" s="70">
        <v>10</v>
      </c>
      <c r="B139" s="3">
        <v>100</v>
      </c>
      <c r="C139" s="3">
        <v>0</v>
      </c>
      <c r="D139" s="3" t="s">
        <v>535</v>
      </c>
      <c r="E139" s="3">
        <v>215</v>
      </c>
      <c r="F139" s="3">
        <v>200</v>
      </c>
      <c r="G139" s="3">
        <v>0</v>
      </c>
      <c r="H139" s="31" t="s">
        <v>1490</v>
      </c>
      <c r="I139" s="32">
        <v>0</v>
      </c>
      <c r="J139" s="32">
        <v>0</v>
      </c>
      <c r="K139" s="40">
        <v>0</v>
      </c>
      <c r="L139" s="40">
        <v>37</v>
      </c>
      <c r="M139" s="451">
        <f t="shared" si="23"/>
        <v>37</v>
      </c>
      <c r="N139" s="417">
        <v>37</v>
      </c>
    </row>
    <row r="140" spans="1:17" outlineLevel="6" x14ac:dyDescent="0.4">
      <c r="A140" s="70">
        <v>10</v>
      </c>
      <c r="B140" s="3">
        <v>100</v>
      </c>
      <c r="C140" s="3">
        <v>0</v>
      </c>
      <c r="D140" s="3" t="s">
        <v>535</v>
      </c>
      <c r="E140" s="3">
        <v>221</v>
      </c>
      <c r="F140" s="3">
        <v>200</v>
      </c>
      <c r="G140" s="3">
        <v>0</v>
      </c>
      <c r="H140" s="31" t="s">
        <v>1491</v>
      </c>
      <c r="I140" s="32">
        <v>0</v>
      </c>
      <c r="J140" s="32">
        <v>0</v>
      </c>
      <c r="K140" s="40">
        <v>0</v>
      </c>
      <c r="L140" s="40">
        <v>178</v>
      </c>
      <c r="M140" s="451">
        <f t="shared" si="23"/>
        <v>179</v>
      </c>
      <c r="N140" s="417">
        <v>179</v>
      </c>
    </row>
    <row r="141" spans="1:17" outlineLevel="6" x14ac:dyDescent="0.4">
      <c r="A141" s="70">
        <v>10</v>
      </c>
      <c r="B141" s="3">
        <v>100</v>
      </c>
      <c r="C141" s="3">
        <v>0</v>
      </c>
      <c r="D141" s="3" t="s">
        <v>535</v>
      </c>
      <c r="E141" s="3">
        <v>230</v>
      </c>
      <c r="F141" s="3">
        <v>200</v>
      </c>
      <c r="G141" s="3">
        <v>0</v>
      </c>
      <c r="H141" s="31" t="s">
        <v>1492</v>
      </c>
      <c r="I141" s="32">
        <v>0</v>
      </c>
      <c r="J141" s="32">
        <v>0</v>
      </c>
      <c r="K141" s="348">
        <v>0</v>
      </c>
      <c r="L141" s="40">
        <v>2502</v>
      </c>
      <c r="M141" s="451">
        <f t="shared" si="23"/>
        <v>2516</v>
      </c>
      <c r="N141" s="415">
        <v>2516</v>
      </c>
    </row>
    <row r="142" spans="1:17" outlineLevel="6" x14ac:dyDescent="0.4">
      <c r="A142" s="70">
        <v>10</v>
      </c>
      <c r="B142" s="3">
        <v>100</v>
      </c>
      <c r="C142" s="3">
        <v>0</v>
      </c>
      <c r="D142" s="3" t="s">
        <v>535</v>
      </c>
      <c r="E142" s="3" t="s">
        <v>450</v>
      </c>
      <c r="F142" s="3">
        <v>200</v>
      </c>
      <c r="G142" s="3">
        <v>0</v>
      </c>
      <c r="H142" s="31" t="s">
        <v>1493</v>
      </c>
      <c r="I142" s="32">
        <v>0</v>
      </c>
      <c r="J142" s="32">
        <v>0</v>
      </c>
      <c r="K142" s="348">
        <v>0</v>
      </c>
      <c r="L142" s="40">
        <v>2044</v>
      </c>
      <c r="M142" s="451">
        <f t="shared" si="23"/>
        <v>2057</v>
      </c>
      <c r="N142" s="415">
        <v>2057</v>
      </c>
    </row>
    <row r="143" spans="1:17" outlineLevel="6" x14ac:dyDescent="0.4">
      <c r="A143" s="70">
        <v>10</v>
      </c>
      <c r="B143" s="3">
        <v>100</v>
      </c>
      <c r="C143" s="3">
        <v>0</v>
      </c>
      <c r="D143" s="3" t="s">
        <v>535</v>
      </c>
      <c r="E143" s="3" t="s">
        <v>2287</v>
      </c>
      <c r="F143" s="3">
        <v>200</v>
      </c>
      <c r="G143" s="3" t="s">
        <v>2285</v>
      </c>
      <c r="H143" s="31" t="s">
        <v>2403</v>
      </c>
      <c r="I143" s="32">
        <v>0</v>
      </c>
      <c r="J143" s="32">
        <v>0</v>
      </c>
      <c r="K143" s="348">
        <v>0</v>
      </c>
      <c r="L143" s="40">
        <v>0</v>
      </c>
      <c r="M143" s="451">
        <f t="shared" ref="M143" si="24">N143-K143</f>
        <v>480</v>
      </c>
      <c r="N143" s="415">
        <v>480</v>
      </c>
      <c r="Q143" s="509"/>
    </row>
    <row r="144" spans="1:17" ht="27" outlineLevel="6" thickBot="1" x14ac:dyDescent="0.45">
      <c r="A144" s="70">
        <v>10</v>
      </c>
      <c r="B144" s="3">
        <v>100</v>
      </c>
      <c r="C144" s="3">
        <v>0</v>
      </c>
      <c r="D144" s="3" t="s">
        <v>535</v>
      </c>
      <c r="E144" s="3">
        <v>600</v>
      </c>
      <c r="F144" s="3">
        <v>0</v>
      </c>
      <c r="G144" s="3">
        <v>0</v>
      </c>
      <c r="H144" s="31" t="s">
        <v>1494</v>
      </c>
      <c r="I144" s="32">
        <v>0</v>
      </c>
      <c r="J144" s="32">
        <v>0</v>
      </c>
      <c r="K144" s="147">
        <v>0</v>
      </c>
      <c r="L144" s="40">
        <v>300</v>
      </c>
      <c r="M144" s="451">
        <f>N144-K144</f>
        <v>300</v>
      </c>
      <c r="N144" s="418">
        <v>300</v>
      </c>
      <c r="Q144" s="509"/>
    </row>
    <row r="145" spans="1:17" ht="27" outlineLevel="5" thickBot="1" x14ac:dyDescent="0.45">
      <c r="A145" s="71"/>
      <c r="B145" s="6"/>
      <c r="C145" s="6"/>
      <c r="D145" s="9" t="s">
        <v>174</v>
      </c>
      <c r="E145" s="6"/>
      <c r="F145" s="6"/>
      <c r="G145" s="6"/>
      <c r="H145" s="41"/>
      <c r="I145" s="42">
        <f>SUBTOTAL(9,I136:I144)</f>
        <v>0</v>
      </c>
      <c r="J145" s="42">
        <f>SUBTOTAL(9,J136:J144)</f>
        <v>0</v>
      </c>
      <c r="K145" s="43">
        <f>SUBTOTAL(9,K136:K144)</f>
        <v>0</v>
      </c>
      <c r="L145" s="43">
        <f>SUBTOTAL(9,L136:L144)</f>
        <v>17347</v>
      </c>
      <c r="M145" s="453">
        <f>N145-K145</f>
        <v>17921</v>
      </c>
      <c r="N145" s="237">
        <f>SUBTOTAL(9,N136:N144)</f>
        <v>17921</v>
      </c>
    </row>
    <row r="146" spans="1:17" ht="27" outlineLevel="4" thickBot="1" x14ac:dyDescent="0.45">
      <c r="A146" s="73"/>
      <c r="B146" s="74" t="s">
        <v>105</v>
      </c>
      <c r="C146" s="7"/>
      <c r="D146" s="7"/>
      <c r="E146" s="7"/>
      <c r="F146" s="7"/>
      <c r="G146" s="7"/>
      <c r="H146" s="45"/>
      <c r="I146" s="46">
        <f>SUBTOTAL(9,I64:I145)</f>
        <v>87467</v>
      </c>
      <c r="J146" s="46">
        <f>SUBTOTAL(9,J64:J145)</f>
        <v>335269</v>
      </c>
      <c r="K146" s="47">
        <f>SUBTOTAL(9,K64:K145)</f>
        <v>255072</v>
      </c>
      <c r="L146" s="49">
        <f>SUBTOTAL(9,L64:L145)</f>
        <v>285072</v>
      </c>
      <c r="M146" s="454">
        <f>N146-K146</f>
        <v>44974</v>
      </c>
      <c r="N146" s="419">
        <f>SUBTOTAL(9,N64:N145)</f>
        <v>300046</v>
      </c>
    </row>
    <row r="147" spans="1:17" outlineLevel="6" x14ac:dyDescent="0.4">
      <c r="A147" s="70">
        <v>10</v>
      </c>
      <c r="B147" s="3">
        <v>200</v>
      </c>
      <c r="C147" s="3">
        <v>0</v>
      </c>
      <c r="D147" s="3">
        <v>21</v>
      </c>
      <c r="E147" s="3">
        <v>110</v>
      </c>
      <c r="F147" s="3">
        <v>200</v>
      </c>
      <c r="G147" s="3">
        <v>0</v>
      </c>
      <c r="H147" s="31" t="s">
        <v>113</v>
      </c>
      <c r="I147" s="32">
        <v>36061</v>
      </c>
      <c r="J147" s="32">
        <v>13231</v>
      </c>
      <c r="K147" s="347">
        <f>13064+67</f>
        <v>13131</v>
      </c>
      <c r="L147" s="141">
        <f>13689+100+6561</f>
        <v>20350</v>
      </c>
      <c r="M147" s="451">
        <f>N147-K147</f>
        <v>7219</v>
      </c>
      <c r="N147" s="415">
        <v>20350</v>
      </c>
      <c r="O147" s="29" t="s">
        <v>1562</v>
      </c>
    </row>
    <row r="148" spans="1:17" outlineLevel="6" x14ac:dyDescent="0.4">
      <c r="A148" s="70">
        <v>10</v>
      </c>
      <c r="B148" s="3">
        <v>200</v>
      </c>
      <c r="C148" s="3">
        <v>0</v>
      </c>
      <c r="D148" s="3">
        <v>21</v>
      </c>
      <c r="E148" s="3">
        <v>120</v>
      </c>
      <c r="F148" s="3">
        <v>200</v>
      </c>
      <c r="G148" s="3">
        <v>0</v>
      </c>
      <c r="H148" s="31" t="s">
        <v>114</v>
      </c>
      <c r="I148" s="32">
        <v>779</v>
      </c>
      <c r="J148" s="32">
        <v>117</v>
      </c>
      <c r="K148" s="346">
        <v>300</v>
      </c>
      <c r="L148" s="141">
        <v>450</v>
      </c>
      <c r="M148" s="451">
        <f>N148-K148</f>
        <v>150</v>
      </c>
      <c r="N148" s="415">
        <v>450</v>
      </c>
      <c r="Q148" s="509"/>
    </row>
    <row r="149" spans="1:17" outlineLevel="6" x14ac:dyDescent="0.4">
      <c r="A149" s="70">
        <v>10</v>
      </c>
      <c r="B149" s="3">
        <v>200</v>
      </c>
      <c r="C149" s="3">
        <v>0</v>
      </c>
      <c r="D149" s="3">
        <v>21</v>
      </c>
      <c r="E149" s="3">
        <v>210</v>
      </c>
      <c r="F149" s="3">
        <v>200</v>
      </c>
      <c r="G149" s="3">
        <v>0</v>
      </c>
      <c r="H149" s="31" t="s">
        <v>115</v>
      </c>
      <c r="I149" s="32">
        <v>55</v>
      </c>
      <c r="J149" s="32">
        <v>20</v>
      </c>
      <c r="K149" s="346">
        <v>22</v>
      </c>
      <c r="L149" s="141">
        <v>33</v>
      </c>
      <c r="M149" s="451">
        <f t="shared" ref="M149:M153" si="25">N149-K149</f>
        <v>11</v>
      </c>
      <c r="N149" s="414">
        <v>33</v>
      </c>
    </row>
    <row r="150" spans="1:17" outlineLevel="6" x14ac:dyDescent="0.4">
      <c r="A150" s="70">
        <v>10</v>
      </c>
      <c r="B150" s="3">
        <v>200</v>
      </c>
      <c r="C150" s="3">
        <v>0</v>
      </c>
      <c r="D150" s="3">
        <v>21</v>
      </c>
      <c r="E150" s="3">
        <v>215</v>
      </c>
      <c r="F150" s="3">
        <v>200</v>
      </c>
      <c r="G150" s="3">
        <v>0</v>
      </c>
      <c r="H150" s="31" t="s">
        <v>67</v>
      </c>
      <c r="I150" s="32">
        <v>108</v>
      </c>
      <c r="J150" s="32">
        <v>39</v>
      </c>
      <c r="K150" s="346">
        <v>41</v>
      </c>
      <c r="L150" s="141">
        <v>63</v>
      </c>
      <c r="M150" s="451">
        <f t="shared" si="25"/>
        <v>22</v>
      </c>
      <c r="N150" s="414">
        <v>63</v>
      </c>
    </row>
    <row r="151" spans="1:17" outlineLevel="6" x14ac:dyDescent="0.4">
      <c r="A151" s="70">
        <v>10</v>
      </c>
      <c r="B151" s="3">
        <v>200</v>
      </c>
      <c r="C151" s="3">
        <v>0</v>
      </c>
      <c r="D151" s="3">
        <v>21</v>
      </c>
      <c r="E151" s="3">
        <v>221</v>
      </c>
      <c r="F151" s="3">
        <v>200</v>
      </c>
      <c r="G151" s="3">
        <v>0</v>
      </c>
      <c r="H151" s="31" t="s">
        <v>116</v>
      </c>
      <c r="I151" s="32">
        <v>525</v>
      </c>
      <c r="J151" s="32">
        <v>187</v>
      </c>
      <c r="K151" s="346">
        <f>194+1</f>
        <v>195</v>
      </c>
      <c r="L151" s="141">
        <v>302</v>
      </c>
      <c r="M151" s="451">
        <f t="shared" si="25"/>
        <v>107</v>
      </c>
      <c r="N151" s="414">
        <v>302</v>
      </c>
    </row>
    <row r="152" spans="1:17" outlineLevel="6" x14ac:dyDescent="0.4">
      <c r="A152" s="70">
        <v>10</v>
      </c>
      <c r="B152" s="3">
        <v>200</v>
      </c>
      <c r="C152" s="3">
        <v>0</v>
      </c>
      <c r="D152" s="3">
        <v>21</v>
      </c>
      <c r="E152" s="3">
        <v>230</v>
      </c>
      <c r="F152" s="3">
        <v>200</v>
      </c>
      <c r="G152" s="3">
        <v>0</v>
      </c>
      <c r="H152" s="31" t="s">
        <v>117</v>
      </c>
      <c r="I152" s="32">
        <v>7159</v>
      </c>
      <c r="J152" s="32">
        <v>2576</v>
      </c>
      <c r="K152" s="346">
        <v>2693</v>
      </c>
      <c r="L152" s="141">
        <v>4244</v>
      </c>
      <c r="M152" s="451">
        <f t="shared" si="25"/>
        <v>1551</v>
      </c>
      <c r="N152" s="414">
        <v>4244</v>
      </c>
    </row>
    <row r="153" spans="1:17" outlineLevel="6" x14ac:dyDescent="0.4">
      <c r="A153" s="70">
        <v>10</v>
      </c>
      <c r="B153" s="3">
        <v>200</v>
      </c>
      <c r="C153" s="3">
        <v>0</v>
      </c>
      <c r="D153" s="3">
        <v>21</v>
      </c>
      <c r="E153" s="3">
        <v>250</v>
      </c>
      <c r="F153" s="3">
        <v>200</v>
      </c>
      <c r="G153" s="3">
        <v>0</v>
      </c>
      <c r="H153" s="31" t="s">
        <v>2405</v>
      </c>
      <c r="I153" s="32">
        <v>4795</v>
      </c>
      <c r="J153" s="32">
        <v>1809</v>
      </c>
      <c r="K153" s="346">
        <v>1960</v>
      </c>
      <c r="L153" s="141">
        <v>3066</v>
      </c>
      <c r="M153" s="451">
        <f t="shared" si="25"/>
        <v>1125</v>
      </c>
      <c r="N153" s="414">
        <v>3085</v>
      </c>
    </row>
    <row r="154" spans="1:17" outlineLevel="6" x14ac:dyDescent="0.4">
      <c r="A154" s="70">
        <v>10</v>
      </c>
      <c r="B154" s="3">
        <v>200</v>
      </c>
      <c r="C154" s="3">
        <v>0</v>
      </c>
      <c r="D154" s="3">
        <v>21</v>
      </c>
      <c r="E154" s="3" t="s">
        <v>2287</v>
      </c>
      <c r="F154" s="3">
        <v>200</v>
      </c>
      <c r="G154" s="3" t="s">
        <v>2285</v>
      </c>
      <c r="H154" s="31" t="s">
        <v>2404</v>
      </c>
      <c r="I154" s="32">
        <v>0</v>
      </c>
      <c r="J154" s="32">
        <v>350</v>
      </c>
      <c r="K154" s="346">
        <v>0</v>
      </c>
      <c r="L154" s="141">
        <v>0</v>
      </c>
      <c r="M154" s="451">
        <f t="shared" ref="M154" si="26">N154-K154</f>
        <v>610</v>
      </c>
      <c r="N154" s="414">
        <v>610</v>
      </c>
      <c r="Q154" s="509"/>
    </row>
    <row r="155" spans="1:17" ht="27" outlineLevel="6" thickBot="1" x14ac:dyDescent="0.45">
      <c r="A155" s="70">
        <v>10</v>
      </c>
      <c r="B155" s="3">
        <v>200</v>
      </c>
      <c r="C155" s="3">
        <v>0</v>
      </c>
      <c r="D155" s="3">
        <v>21</v>
      </c>
      <c r="E155" s="3">
        <v>600</v>
      </c>
      <c r="F155" s="3">
        <v>0</v>
      </c>
      <c r="G155" s="3">
        <v>0</v>
      </c>
      <c r="H155" s="31" t="s">
        <v>118</v>
      </c>
      <c r="I155" s="32">
        <v>78</v>
      </c>
      <c r="J155" s="32">
        <v>296</v>
      </c>
      <c r="K155" s="346">
        <v>300</v>
      </c>
      <c r="L155" s="141">
        <v>300</v>
      </c>
      <c r="M155" s="451">
        <f>N155-K155</f>
        <v>0</v>
      </c>
      <c r="N155" s="414">
        <v>300</v>
      </c>
      <c r="Q155" s="509"/>
    </row>
    <row r="156" spans="1:17" ht="27" outlineLevel="5" thickBot="1" x14ac:dyDescent="0.45">
      <c r="A156" s="71"/>
      <c r="B156" s="6"/>
      <c r="C156" s="6"/>
      <c r="D156" s="9" t="s">
        <v>119</v>
      </c>
      <c r="E156" s="6"/>
      <c r="F156" s="6"/>
      <c r="G156" s="6"/>
      <c r="H156" s="41"/>
      <c r="I156" s="42">
        <f>SUBTOTAL(9,I147:I155)</f>
        <v>49560</v>
      </c>
      <c r="J156" s="42">
        <f>SUBTOTAL(9,J147:J155)</f>
        <v>18625</v>
      </c>
      <c r="K156" s="43">
        <f>SUBTOTAL(9,K147:K155)</f>
        <v>18642</v>
      </c>
      <c r="L156" s="43">
        <f>SUBTOTAL(9,L147:L155)</f>
        <v>28808</v>
      </c>
      <c r="M156" s="153">
        <f>N156-K156</f>
        <v>10795</v>
      </c>
      <c r="N156" s="237">
        <f>SUBTOTAL(9,N147:N155)</f>
        <v>29437</v>
      </c>
    </row>
    <row r="157" spans="1:17" outlineLevel="6" x14ac:dyDescent="0.4">
      <c r="A157" s="70">
        <v>10</v>
      </c>
      <c r="B157" s="3">
        <v>200</v>
      </c>
      <c r="C157" s="3">
        <v>0</v>
      </c>
      <c r="D157" s="3">
        <v>22</v>
      </c>
      <c r="E157" s="3">
        <v>110</v>
      </c>
      <c r="F157" s="3">
        <v>200</v>
      </c>
      <c r="G157" s="3">
        <v>0</v>
      </c>
      <c r="H157" s="31" t="s">
        <v>120</v>
      </c>
      <c r="I157" s="32">
        <v>29349</v>
      </c>
      <c r="J157" s="32">
        <v>29566</v>
      </c>
      <c r="K157" s="347">
        <f>17982.5+11010+350+200</f>
        <v>29542.5</v>
      </c>
      <c r="L157" s="141">
        <v>22333</v>
      </c>
      <c r="M157" s="451">
        <f>N157-K157</f>
        <v>-9361.5</v>
      </c>
      <c r="N157" s="415">
        <v>20181</v>
      </c>
      <c r="O157" s="29" t="s">
        <v>1461</v>
      </c>
    </row>
    <row r="158" spans="1:17" outlineLevel="6" x14ac:dyDescent="0.4">
      <c r="A158" s="70">
        <v>10</v>
      </c>
      <c r="B158" s="3">
        <v>200</v>
      </c>
      <c r="C158" s="3">
        <v>0</v>
      </c>
      <c r="D158" s="3">
        <v>22</v>
      </c>
      <c r="E158" s="3">
        <v>120</v>
      </c>
      <c r="F158" s="3">
        <v>200</v>
      </c>
      <c r="G158" s="3">
        <v>0</v>
      </c>
      <c r="H158" s="31" t="s">
        <v>121</v>
      </c>
      <c r="I158" s="32">
        <v>321</v>
      </c>
      <c r="J158" s="32">
        <v>730</v>
      </c>
      <c r="K158" s="346">
        <v>675</v>
      </c>
      <c r="L158" s="141">
        <v>450</v>
      </c>
      <c r="M158" s="451">
        <f>N158-K158</f>
        <v>-225</v>
      </c>
      <c r="N158" s="415">
        <v>450</v>
      </c>
      <c r="Q158" s="509"/>
    </row>
    <row r="159" spans="1:17" outlineLevel="6" x14ac:dyDescent="0.4">
      <c r="A159" s="70">
        <v>10</v>
      </c>
      <c r="B159" s="3">
        <v>200</v>
      </c>
      <c r="C159" s="3">
        <v>0</v>
      </c>
      <c r="D159" s="3">
        <v>22</v>
      </c>
      <c r="E159" s="3">
        <v>210</v>
      </c>
      <c r="F159" s="3">
        <v>200</v>
      </c>
      <c r="G159" s="3">
        <v>0</v>
      </c>
      <c r="H159" s="31" t="s">
        <v>122</v>
      </c>
      <c r="I159" s="32">
        <v>44</v>
      </c>
      <c r="J159" s="32">
        <v>33</v>
      </c>
      <c r="K159" s="346">
        <v>33</v>
      </c>
      <c r="L159" s="141">
        <v>33</v>
      </c>
      <c r="M159" s="451">
        <f t="shared" ref="M159:M163" si="27">N159-K159</f>
        <v>0</v>
      </c>
      <c r="N159" s="414">
        <v>33</v>
      </c>
    </row>
    <row r="160" spans="1:17" outlineLevel="6" x14ac:dyDescent="0.4">
      <c r="A160" s="70">
        <v>10</v>
      </c>
      <c r="B160" s="3">
        <v>200</v>
      </c>
      <c r="C160" s="3">
        <v>0</v>
      </c>
      <c r="D160" s="3">
        <v>22</v>
      </c>
      <c r="E160" s="3">
        <v>215</v>
      </c>
      <c r="F160" s="3">
        <v>200</v>
      </c>
      <c r="G160" s="3">
        <v>0</v>
      </c>
      <c r="H160" s="31" t="s">
        <v>67</v>
      </c>
      <c r="I160" s="32">
        <v>86</v>
      </c>
      <c r="J160" s="32">
        <v>88</v>
      </c>
      <c r="K160" s="346">
        <f>90+1</f>
        <v>91</v>
      </c>
      <c r="L160" s="141">
        <v>69</v>
      </c>
      <c r="M160" s="451">
        <f t="shared" si="27"/>
        <v>-22</v>
      </c>
      <c r="N160" s="414">
        <v>69</v>
      </c>
    </row>
    <row r="161" spans="1:17" outlineLevel="6" x14ac:dyDescent="0.4">
      <c r="A161" s="70">
        <v>10</v>
      </c>
      <c r="B161" s="3">
        <v>200</v>
      </c>
      <c r="C161" s="3">
        <v>0</v>
      </c>
      <c r="D161" s="3">
        <v>22</v>
      </c>
      <c r="E161" s="3">
        <v>221</v>
      </c>
      <c r="F161" s="3">
        <v>200</v>
      </c>
      <c r="G161" s="3">
        <v>0</v>
      </c>
      <c r="H161" s="31" t="s">
        <v>123</v>
      </c>
      <c r="I161" s="32">
        <v>412</v>
      </c>
      <c r="J161" s="32">
        <v>427</v>
      </c>
      <c r="K161" s="346">
        <f>436+3</f>
        <v>439</v>
      </c>
      <c r="L161" s="141">
        <v>331</v>
      </c>
      <c r="M161" s="451">
        <f t="shared" si="27"/>
        <v>-108</v>
      </c>
      <c r="N161" s="414">
        <v>331</v>
      </c>
    </row>
    <row r="162" spans="1:17" outlineLevel="6" x14ac:dyDescent="0.4">
      <c r="A162" s="70">
        <v>10</v>
      </c>
      <c r="B162" s="3">
        <v>200</v>
      </c>
      <c r="C162" s="3">
        <v>0</v>
      </c>
      <c r="D162" s="3">
        <v>22</v>
      </c>
      <c r="E162" s="3">
        <v>230</v>
      </c>
      <c r="F162" s="3">
        <v>200</v>
      </c>
      <c r="G162" s="3">
        <v>0</v>
      </c>
      <c r="H162" s="31" t="s">
        <v>124</v>
      </c>
      <c r="I162" s="32">
        <v>5671</v>
      </c>
      <c r="J162" s="32">
        <v>2237</v>
      </c>
      <c r="K162" s="346">
        <v>2290</v>
      </c>
      <c r="L162" s="141">
        <v>4648</v>
      </c>
      <c r="M162" s="451">
        <f t="shared" si="27"/>
        <v>2358</v>
      </c>
      <c r="N162" s="414">
        <v>4648</v>
      </c>
    </row>
    <row r="163" spans="1:17" outlineLevel="6" x14ac:dyDescent="0.4">
      <c r="A163" s="70">
        <v>10</v>
      </c>
      <c r="B163" s="3">
        <v>200</v>
      </c>
      <c r="C163" s="3">
        <v>0</v>
      </c>
      <c r="D163" s="3">
        <v>22</v>
      </c>
      <c r="E163" s="3">
        <v>250</v>
      </c>
      <c r="F163" s="3">
        <v>200</v>
      </c>
      <c r="G163" s="3">
        <v>0</v>
      </c>
      <c r="H163" s="31" t="s">
        <v>125</v>
      </c>
      <c r="I163" s="32">
        <v>3874</v>
      </c>
      <c r="J163" s="32">
        <v>2710</v>
      </c>
      <c r="K163" s="346">
        <v>2450</v>
      </c>
      <c r="L163" s="141">
        <v>3066</v>
      </c>
      <c r="M163" s="451">
        <f t="shared" si="27"/>
        <v>635</v>
      </c>
      <c r="N163" s="414">
        <v>3085</v>
      </c>
    </row>
    <row r="164" spans="1:17" outlineLevel="6" x14ac:dyDescent="0.4">
      <c r="A164" s="70">
        <v>10</v>
      </c>
      <c r="B164" s="3">
        <v>200</v>
      </c>
      <c r="C164" s="3">
        <v>0</v>
      </c>
      <c r="D164" s="3">
        <v>22</v>
      </c>
      <c r="E164" s="3" t="s">
        <v>2287</v>
      </c>
      <c r="F164" s="3">
        <v>200</v>
      </c>
      <c r="G164" s="3" t="s">
        <v>2285</v>
      </c>
      <c r="H164" s="31" t="s">
        <v>2406</v>
      </c>
      <c r="I164" s="32">
        <v>0</v>
      </c>
      <c r="J164" s="32">
        <v>347</v>
      </c>
      <c r="K164" s="346">
        <v>0</v>
      </c>
      <c r="L164" s="141">
        <v>0</v>
      </c>
      <c r="M164" s="451">
        <f t="shared" ref="M164" si="28">N164-K164</f>
        <v>605</v>
      </c>
      <c r="N164" s="414">
        <v>605</v>
      </c>
      <c r="Q164" s="509"/>
    </row>
    <row r="165" spans="1:17" ht="27" outlineLevel="6" thickBot="1" x14ac:dyDescent="0.45">
      <c r="A165" s="70">
        <v>10</v>
      </c>
      <c r="B165" s="3">
        <v>200</v>
      </c>
      <c r="C165" s="3">
        <v>0</v>
      </c>
      <c r="D165" s="3">
        <v>22</v>
      </c>
      <c r="E165" s="3">
        <v>600</v>
      </c>
      <c r="F165" s="3">
        <v>0</v>
      </c>
      <c r="G165" s="3">
        <v>0</v>
      </c>
      <c r="H165" s="31" t="s">
        <v>126</v>
      </c>
      <c r="I165" s="32">
        <v>0</v>
      </c>
      <c r="J165" s="32">
        <v>634</v>
      </c>
      <c r="K165" s="346">
        <v>300</v>
      </c>
      <c r="L165" s="141">
        <v>300</v>
      </c>
      <c r="M165" s="451">
        <f>N165-K165</f>
        <v>0</v>
      </c>
      <c r="N165" s="414">
        <v>300</v>
      </c>
      <c r="Q165" s="509"/>
    </row>
    <row r="166" spans="1:17" ht="27" outlineLevel="5" thickBot="1" x14ac:dyDescent="0.45">
      <c r="A166" s="71"/>
      <c r="B166" s="6"/>
      <c r="C166" s="6"/>
      <c r="D166" s="9" t="s">
        <v>127</v>
      </c>
      <c r="E166" s="6"/>
      <c r="F166" s="6"/>
      <c r="G166" s="6"/>
      <c r="H166" s="41"/>
      <c r="I166" s="42">
        <f>SUBTOTAL(9,I157:I165)</f>
        <v>39757</v>
      </c>
      <c r="J166" s="42">
        <f>SUBTOTAL(9,J157:J165)</f>
        <v>36772</v>
      </c>
      <c r="K166" s="43">
        <f>SUBTOTAL(9,K157:K165)</f>
        <v>35820.5</v>
      </c>
      <c r="L166" s="43">
        <f>SUBTOTAL(9,L157:L165)</f>
        <v>31230</v>
      </c>
      <c r="M166" s="453">
        <f>N166-K166</f>
        <v>-6118.5</v>
      </c>
      <c r="N166" s="237">
        <f>SUBTOTAL(9,N157:N165)</f>
        <v>29702</v>
      </c>
    </row>
    <row r="167" spans="1:17" outlineLevel="6" x14ac:dyDescent="0.4">
      <c r="A167" s="70">
        <v>10</v>
      </c>
      <c r="B167" s="3">
        <v>200</v>
      </c>
      <c r="C167" s="3">
        <v>0</v>
      </c>
      <c r="D167" s="3">
        <v>23</v>
      </c>
      <c r="E167" s="3">
        <v>110</v>
      </c>
      <c r="F167" s="3">
        <v>200</v>
      </c>
      <c r="G167" s="3">
        <v>0</v>
      </c>
      <c r="H167" s="31" t="s">
        <v>128</v>
      </c>
      <c r="I167" s="32">
        <v>21170</v>
      </c>
      <c r="J167" s="32">
        <v>43315</v>
      </c>
      <c r="K167" s="39">
        <f>43115+200</f>
        <v>43315</v>
      </c>
      <c r="L167" s="40">
        <f>11680+67</f>
        <v>11747</v>
      </c>
      <c r="M167" s="451">
        <f>N167-K167</f>
        <v>-31568</v>
      </c>
      <c r="N167" s="418">
        <v>11747</v>
      </c>
      <c r="O167" s="29" t="s">
        <v>1481</v>
      </c>
    </row>
    <row r="168" spans="1:17" outlineLevel="6" x14ac:dyDescent="0.4">
      <c r="A168" s="70">
        <v>10</v>
      </c>
      <c r="B168" s="3">
        <v>200</v>
      </c>
      <c r="C168" s="3">
        <v>0</v>
      </c>
      <c r="D168" s="3">
        <v>23</v>
      </c>
      <c r="E168" s="3">
        <v>120</v>
      </c>
      <c r="F168" s="3">
        <v>200</v>
      </c>
      <c r="G168" s="3">
        <v>0</v>
      </c>
      <c r="H168" s="31" t="s">
        <v>129</v>
      </c>
      <c r="I168" s="32">
        <v>325</v>
      </c>
      <c r="J168" s="32">
        <v>1895</v>
      </c>
      <c r="K168" s="40">
        <v>900</v>
      </c>
      <c r="L168" s="40">
        <v>300</v>
      </c>
      <c r="M168" s="451">
        <f>N168-K168</f>
        <v>-600</v>
      </c>
      <c r="N168" s="418">
        <v>300</v>
      </c>
      <c r="Q168" s="509"/>
    </row>
    <row r="169" spans="1:17" outlineLevel="6" x14ac:dyDescent="0.4">
      <c r="A169" s="70">
        <v>10</v>
      </c>
      <c r="B169" s="3">
        <v>200</v>
      </c>
      <c r="C169" s="3">
        <v>0</v>
      </c>
      <c r="D169" s="3">
        <v>23</v>
      </c>
      <c r="E169" s="3" t="s">
        <v>455</v>
      </c>
      <c r="F169" s="3">
        <v>200</v>
      </c>
      <c r="G169" s="3">
        <v>0</v>
      </c>
      <c r="H169" s="31" t="s">
        <v>131</v>
      </c>
      <c r="I169" s="32">
        <v>33</v>
      </c>
      <c r="J169" s="32">
        <v>60</v>
      </c>
      <c r="K169" s="40">
        <v>66</v>
      </c>
      <c r="L169" s="40">
        <v>22</v>
      </c>
      <c r="M169" s="451">
        <f t="shared" ref="M169:M173" si="29">N169-K169</f>
        <v>-44</v>
      </c>
      <c r="N169" s="417">
        <v>22</v>
      </c>
    </row>
    <row r="170" spans="1:17" outlineLevel="6" x14ac:dyDescent="0.4">
      <c r="A170" s="70">
        <v>10</v>
      </c>
      <c r="B170" s="3">
        <v>200</v>
      </c>
      <c r="C170" s="3">
        <v>0</v>
      </c>
      <c r="D170" s="3">
        <v>23</v>
      </c>
      <c r="E170" s="3">
        <v>215</v>
      </c>
      <c r="F170" s="3">
        <v>200</v>
      </c>
      <c r="G170" s="3">
        <v>0</v>
      </c>
      <c r="H170" s="31" t="s">
        <v>67</v>
      </c>
      <c r="I170" s="32">
        <v>64</v>
      </c>
      <c r="J170" s="32">
        <v>134</v>
      </c>
      <c r="K170" s="40">
        <f>132+1</f>
        <v>133</v>
      </c>
      <c r="L170" s="40">
        <v>36</v>
      </c>
      <c r="M170" s="451">
        <f t="shared" si="29"/>
        <v>-97</v>
      </c>
      <c r="N170" s="417">
        <v>36</v>
      </c>
    </row>
    <row r="171" spans="1:17" outlineLevel="6" x14ac:dyDescent="0.4">
      <c r="A171" s="70">
        <v>10</v>
      </c>
      <c r="B171" s="3">
        <v>200</v>
      </c>
      <c r="C171" s="3">
        <v>0</v>
      </c>
      <c r="D171" s="3">
        <v>23</v>
      </c>
      <c r="E171" s="3" t="s">
        <v>480</v>
      </c>
      <c r="F171" s="3">
        <v>200</v>
      </c>
      <c r="G171" s="3">
        <v>0</v>
      </c>
      <c r="H171" s="31" t="s">
        <v>133</v>
      </c>
      <c r="I171" s="32">
        <v>307</v>
      </c>
      <c r="J171" s="32">
        <v>646</v>
      </c>
      <c r="K171" s="40">
        <f>639+3</f>
        <v>642</v>
      </c>
      <c r="L171" s="40">
        <v>171</v>
      </c>
      <c r="M171" s="451">
        <f t="shared" si="29"/>
        <v>-471</v>
      </c>
      <c r="N171" s="417">
        <v>171</v>
      </c>
    </row>
    <row r="172" spans="1:17" outlineLevel="6" x14ac:dyDescent="0.4">
      <c r="A172" s="70">
        <v>10</v>
      </c>
      <c r="B172" s="3">
        <v>200</v>
      </c>
      <c r="C172" s="3">
        <v>0</v>
      </c>
      <c r="D172" s="3">
        <v>23</v>
      </c>
      <c r="E172" s="3">
        <v>230</v>
      </c>
      <c r="F172" s="3">
        <v>200</v>
      </c>
      <c r="G172" s="3">
        <v>0</v>
      </c>
      <c r="H172" s="31" t="s">
        <v>132</v>
      </c>
      <c r="I172" s="32">
        <v>4196</v>
      </c>
      <c r="J172" s="32">
        <v>8940</v>
      </c>
      <c r="K172" s="40">
        <v>8870</v>
      </c>
      <c r="L172" s="40">
        <v>2397</v>
      </c>
      <c r="M172" s="451">
        <f t="shared" si="29"/>
        <v>-6473</v>
      </c>
      <c r="N172" s="417">
        <v>2397</v>
      </c>
    </row>
    <row r="173" spans="1:17" outlineLevel="6" x14ac:dyDescent="0.4">
      <c r="A173" s="70">
        <v>10</v>
      </c>
      <c r="B173" s="3">
        <v>200</v>
      </c>
      <c r="C173" s="3">
        <v>0</v>
      </c>
      <c r="D173" s="3">
        <v>23</v>
      </c>
      <c r="E173" s="3" t="s">
        <v>450</v>
      </c>
      <c r="F173" s="3">
        <v>200</v>
      </c>
      <c r="G173" s="3">
        <v>0</v>
      </c>
      <c r="H173" s="31" t="s">
        <v>130</v>
      </c>
      <c r="I173" s="32">
        <v>2858</v>
      </c>
      <c r="J173" s="32">
        <v>5437</v>
      </c>
      <c r="K173" s="40">
        <v>5879</v>
      </c>
      <c r="L173" s="40">
        <v>2044</v>
      </c>
      <c r="M173" s="451">
        <f t="shared" si="29"/>
        <v>-3822</v>
      </c>
      <c r="N173" s="417">
        <v>2057</v>
      </c>
    </row>
    <row r="174" spans="1:17" outlineLevel="6" x14ac:dyDescent="0.4">
      <c r="A174" s="70">
        <v>10</v>
      </c>
      <c r="B174" s="3">
        <v>200</v>
      </c>
      <c r="C174" s="3">
        <v>0</v>
      </c>
      <c r="D174" s="3">
        <v>23</v>
      </c>
      <c r="E174" s="3" t="s">
        <v>2287</v>
      </c>
      <c r="F174" s="3">
        <v>200</v>
      </c>
      <c r="G174" s="3" t="s">
        <v>2285</v>
      </c>
      <c r="H174" s="31" t="s">
        <v>2407</v>
      </c>
      <c r="I174" s="32">
        <v>0</v>
      </c>
      <c r="J174" s="32">
        <v>1239</v>
      </c>
      <c r="K174" s="40">
        <v>0</v>
      </c>
      <c r="L174" s="40">
        <v>0</v>
      </c>
      <c r="M174" s="451">
        <f t="shared" ref="M174" si="30">N174-K174</f>
        <v>362</v>
      </c>
      <c r="N174" s="417">
        <v>362</v>
      </c>
      <c r="Q174" s="509"/>
    </row>
    <row r="175" spans="1:17" ht="27" outlineLevel="6" thickBot="1" x14ac:dyDescent="0.45">
      <c r="A175" s="70">
        <v>10</v>
      </c>
      <c r="B175" s="3">
        <v>200</v>
      </c>
      <c r="C175" s="3">
        <v>0</v>
      </c>
      <c r="D175" s="3">
        <v>23</v>
      </c>
      <c r="E175" s="3">
        <v>600</v>
      </c>
      <c r="F175" s="3">
        <v>0</v>
      </c>
      <c r="G175" s="3">
        <v>0</v>
      </c>
      <c r="H175" s="31" t="s">
        <v>134</v>
      </c>
      <c r="I175" s="32">
        <v>346</v>
      </c>
      <c r="J175" s="32">
        <v>291</v>
      </c>
      <c r="K175" s="40">
        <v>300</v>
      </c>
      <c r="L175" s="40">
        <v>300</v>
      </c>
      <c r="M175" s="451">
        <f>N175-K175</f>
        <v>0</v>
      </c>
      <c r="N175" s="417">
        <v>300</v>
      </c>
      <c r="Q175" s="509"/>
    </row>
    <row r="176" spans="1:17" ht="27" outlineLevel="5" thickBot="1" x14ac:dyDescent="0.45">
      <c r="A176" s="71"/>
      <c r="B176" s="6"/>
      <c r="C176" s="6"/>
      <c r="D176" s="9" t="s">
        <v>135</v>
      </c>
      <c r="E176" s="6"/>
      <c r="F176" s="6"/>
      <c r="G176" s="6"/>
      <c r="H176" s="41"/>
      <c r="I176" s="42">
        <f>SUBTOTAL(9,I167:I175)</f>
        <v>29299</v>
      </c>
      <c r="J176" s="42">
        <f>SUBTOTAL(9,J167:J175)</f>
        <v>61957</v>
      </c>
      <c r="K176" s="43">
        <f>SUBTOTAL(9,K167:K175)</f>
        <v>60105</v>
      </c>
      <c r="L176" s="43">
        <f>SUBTOTAL(9,L167:L175)</f>
        <v>17017</v>
      </c>
      <c r="M176" s="453">
        <f>N176-K176</f>
        <v>-42713</v>
      </c>
      <c r="N176" s="237">
        <f>SUBTOTAL(9,N167:N175)</f>
        <v>17392</v>
      </c>
    </row>
    <row r="177" spans="1:17" outlineLevel="6" x14ac:dyDescent="0.4">
      <c r="A177" s="70">
        <v>10</v>
      </c>
      <c r="B177" s="3">
        <v>200</v>
      </c>
      <c r="C177" s="3">
        <v>0</v>
      </c>
      <c r="D177" s="3">
        <v>27</v>
      </c>
      <c r="E177" s="3">
        <v>110</v>
      </c>
      <c r="F177" s="3">
        <v>200</v>
      </c>
      <c r="G177" s="3">
        <v>0</v>
      </c>
      <c r="H177" s="31" t="s">
        <v>136</v>
      </c>
      <c r="I177" s="32">
        <v>16282</v>
      </c>
      <c r="J177" s="32">
        <v>11584</v>
      </c>
      <c r="K177" s="40">
        <f>16245-3144+100</f>
        <v>13201</v>
      </c>
      <c r="L177" s="40">
        <f>15922+750+100</f>
        <v>16772</v>
      </c>
      <c r="M177" s="451">
        <f>N177-K177</f>
        <v>3571</v>
      </c>
      <c r="N177" s="417">
        <v>16772</v>
      </c>
      <c r="O177" s="29" t="s">
        <v>1456</v>
      </c>
      <c r="Q177" s="509"/>
    </row>
    <row r="178" spans="1:17" outlineLevel="6" x14ac:dyDescent="0.4">
      <c r="A178" s="70">
        <v>10</v>
      </c>
      <c r="B178" s="3">
        <v>200</v>
      </c>
      <c r="C178" s="3">
        <v>0</v>
      </c>
      <c r="D178" s="3">
        <v>27</v>
      </c>
      <c r="E178" s="3">
        <v>120</v>
      </c>
      <c r="F178" s="3">
        <v>200</v>
      </c>
      <c r="G178" s="3">
        <v>0</v>
      </c>
      <c r="H178" s="31" t="s">
        <v>137</v>
      </c>
      <c r="I178" s="32">
        <v>600</v>
      </c>
      <c r="J178" s="32">
        <v>4417</v>
      </c>
      <c r="K178" s="40">
        <f>450+2938+100</f>
        <v>3488</v>
      </c>
      <c r="L178" s="40">
        <v>450</v>
      </c>
      <c r="M178" s="451">
        <f>N178-K178</f>
        <v>-3038</v>
      </c>
      <c r="N178" s="417">
        <v>450</v>
      </c>
    </row>
    <row r="179" spans="1:17" outlineLevel="6" x14ac:dyDescent="0.4">
      <c r="A179" s="70">
        <v>10</v>
      </c>
      <c r="B179" s="3">
        <v>200</v>
      </c>
      <c r="C179" s="3">
        <v>0</v>
      </c>
      <c r="D179" s="3">
        <v>27</v>
      </c>
      <c r="E179" s="3">
        <v>210</v>
      </c>
      <c r="F179" s="3">
        <v>200</v>
      </c>
      <c r="G179" s="3">
        <v>0</v>
      </c>
      <c r="H179" s="31" t="s">
        <v>138</v>
      </c>
      <c r="I179" s="32">
        <v>33</v>
      </c>
      <c r="J179" s="32">
        <v>14</v>
      </c>
      <c r="K179" s="40">
        <v>33</v>
      </c>
      <c r="L179" s="40">
        <v>33</v>
      </c>
      <c r="M179" s="451">
        <f t="shared" ref="M179:M186" si="31">N179-K179</f>
        <v>0</v>
      </c>
      <c r="N179" s="417">
        <v>33</v>
      </c>
    </row>
    <row r="180" spans="1:17" outlineLevel="6" x14ac:dyDescent="0.4">
      <c r="A180" s="70">
        <v>10</v>
      </c>
      <c r="B180" s="3">
        <v>200</v>
      </c>
      <c r="C180" s="3">
        <v>0</v>
      </c>
      <c r="D180" s="3">
        <v>27</v>
      </c>
      <c r="E180" s="3">
        <v>215</v>
      </c>
      <c r="F180" s="3">
        <v>200</v>
      </c>
      <c r="G180" s="3">
        <v>0</v>
      </c>
      <c r="H180" s="31" t="s">
        <v>67</v>
      </c>
      <c r="I180" s="32">
        <v>51</v>
      </c>
      <c r="J180" s="32">
        <v>47</v>
      </c>
      <c r="K180" s="40">
        <f>51+1</f>
        <v>52</v>
      </c>
      <c r="L180" s="40">
        <v>52</v>
      </c>
      <c r="M180" s="451">
        <f t="shared" si="31"/>
        <v>0</v>
      </c>
      <c r="N180" s="417">
        <v>52</v>
      </c>
    </row>
    <row r="181" spans="1:17" outlineLevel="6" x14ac:dyDescent="0.4">
      <c r="A181" s="70">
        <v>10</v>
      </c>
      <c r="B181" s="3">
        <v>200</v>
      </c>
      <c r="C181" s="3">
        <v>0</v>
      </c>
      <c r="D181" s="3">
        <v>27</v>
      </c>
      <c r="E181" s="3">
        <v>221</v>
      </c>
      <c r="F181" s="3">
        <v>200</v>
      </c>
      <c r="G181" s="3">
        <v>0</v>
      </c>
      <c r="H181" s="31" t="s">
        <v>139</v>
      </c>
      <c r="I181" s="32">
        <v>244</v>
      </c>
      <c r="J181" s="32">
        <v>229</v>
      </c>
      <c r="K181" s="40">
        <f>243+3</f>
        <v>246</v>
      </c>
      <c r="L181" s="40">
        <v>250</v>
      </c>
      <c r="M181" s="451">
        <f t="shared" si="31"/>
        <v>4</v>
      </c>
      <c r="N181" s="417">
        <v>250</v>
      </c>
    </row>
    <row r="182" spans="1:17" outlineLevel="6" x14ac:dyDescent="0.4">
      <c r="A182" s="70">
        <v>10</v>
      </c>
      <c r="B182" s="3">
        <v>200</v>
      </c>
      <c r="C182" s="3">
        <v>0</v>
      </c>
      <c r="D182" s="3">
        <v>27</v>
      </c>
      <c r="E182" s="3">
        <v>230</v>
      </c>
      <c r="F182" s="3">
        <v>200</v>
      </c>
      <c r="G182" s="3">
        <v>0</v>
      </c>
      <c r="H182" s="31" t="s">
        <v>140</v>
      </c>
      <c r="I182" s="32">
        <v>3317</v>
      </c>
      <c r="J182" s="32">
        <v>3138</v>
      </c>
      <c r="K182" s="40">
        <v>3365</v>
      </c>
      <c r="L182" s="40">
        <v>3514</v>
      </c>
      <c r="M182" s="451">
        <f t="shared" si="31"/>
        <v>149</v>
      </c>
      <c r="N182" s="417">
        <v>3514</v>
      </c>
    </row>
    <row r="183" spans="1:17" outlineLevel="6" x14ac:dyDescent="0.4">
      <c r="A183" s="70">
        <v>10</v>
      </c>
      <c r="B183" s="3">
        <v>200</v>
      </c>
      <c r="C183" s="3">
        <v>0</v>
      </c>
      <c r="D183" s="3">
        <v>27</v>
      </c>
      <c r="E183" s="3">
        <v>250</v>
      </c>
      <c r="F183" s="3">
        <v>200</v>
      </c>
      <c r="G183" s="3">
        <v>0</v>
      </c>
      <c r="H183" s="31" t="s">
        <v>141</v>
      </c>
      <c r="I183" s="32">
        <v>2858</v>
      </c>
      <c r="J183" s="32">
        <v>1225</v>
      </c>
      <c r="K183" s="147">
        <v>2940</v>
      </c>
      <c r="L183" s="40">
        <v>3066</v>
      </c>
      <c r="M183" s="451">
        <f t="shared" si="31"/>
        <v>145</v>
      </c>
      <c r="N183" s="418">
        <v>3085</v>
      </c>
    </row>
    <row r="184" spans="1:17" outlineLevel="6" x14ac:dyDescent="0.4">
      <c r="A184" s="70">
        <v>10</v>
      </c>
      <c r="B184" s="3">
        <v>200</v>
      </c>
      <c r="C184" s="3">
        <v>0</v>
      </c>
      <c r="D184" s="3">
        <v>27</v>
      </c>
      <c r="E184" s="3" t="s">
        <v>2287</v>
      </c>
      <c r="F184" s="3">
        <v>200</v>
      </c>
      <c r="G184" s="3" t="s">
        <v>2285</v>
      </c>
      <c r="H184" s="31" t="s">
        <v>2408</v>
      </c>
      <c r="I184" s="32">
        <v>0</v>
      </c>
      <c r="J184" s="32">
        <v>498</v>
      </c>
      <c r="K184" s="147">
        <v>0</v>
      </c>
      <c r="L184" s="40">
        <v>0</v>
      </c>
      <c r="M184" s="451">
        <f t="shared" ref="M184" si="32">N184-K184</f>
        <v>516</v>
      </c>
      <c r="N184" s="418">
        <v>516</v>
      </c>
      <c r="Q184" s="509"/>
    </row>
    <row r="185" spans="1:17" outlineLevel="6" x14ac:dyDescent="0.4">
      <c r="A185" s="70">
        <v>10</v>
      </c>
      <c r="B185" s="3">
        <v>200</v>
      </c>
      <c r="C185" s="3">
        <v>0</v>
      </c>
      <c r="D185" s="3">
        <v>27</v>
      </c>
      <c r="E185" s="3">
        <v>600</v>
      </c>
      <c r="F185" s="3">
        <v>0</v>
      </c>
      <c r="G185" s="3" t="s">
        <v>1323</v>
      </c>
      <c r="H185" s="31" t="s">
        <v>1366</v>
      </c>
      <c r="I185" s="32">
        <v>0</v>
      </c>
      <c r="J185" s="32">
        <v>750</v>
      </c>
      <c r="K185" s="147">
        <v>750</v>
      </c>
      <c r="L185" s="40">
        <v>0</v>
      </c>
      <c r="M185" s="451">
        <f t="shared" si="31"/>
        <v>-750</v>
      </c>
      <c r="N185" s="418">
        <v>0</v>
      </c>
    </row>
    <row r="186" spans="1:17" ht="27" outlineLevel="6" thickBot="1" x14ac:dyDescent="0.45">
      <c r="A186" s="70">
        <v>10</v>
      </c>
      <c r="B186" s="3">
        <v>200</v>
      </c>
      <c r="C186" s="3">
        <v>0</v>
      </c>
      <c r="D186" s="3">
        <v>27</v>
      </c>
      <c r="E186" s="3">
        <v>600</v>
      </c>
      <c r="F186" s="3">
        <v>0</v>
      </c>
      <c r="G186" s="3">
        <v>0</v>
      </c>
      <c r="H186" s="31" t="s">
        <v>142</v>
      </c>
      <c r="I186" s="32">
        <v>50</v>
      </c>
      <c r="J186" s="32">
        <v>572</v>
      </c>
      <c r="K186" s="147">
        <v>750</v>
      </c>
      <c r="L186" s="40">
        <v>1500</v>
      </c>
      <c r="M186" s="451">
        <f t="shared" si="31"/>
        <v>750</v>
      </c>
      <c r="N186" s="418">
        <v>1500</v>
      </c>
      <c r="Q186" s="509"/>
    </row>
    <row r="187" spans="1:17" ht="27" outlineLevel="5" thickBot="1" x14ac:dyDescent="0.45">
      <c r="A187" s="71"/>
      <c r="B187" s="6"/>
      <c r="C187" s="6"/>
      <c r="D187" s="9" t="s">
        <v>143</v>
      </c>
      <c r="E187" s="6"/>
      <c r="F187" s="6"/>
      <c r="G187" s="6"/>
      <c r="H187" s="41"/>
      <c r="I187" s="42">
        <f>SUBTOTAL(9,I177:I186)</f>
        <v>23435</v>
      </c>
      <c r="J187" s="42">
        <f>SUBTOTAL(9,J177:J186)</f>
        <v>22474</v>
      </c>
      <c r="K187" s="43">
        <f>SUBTOTAL(9,K177:K186)</f>
        <v>24825</v>
      </c>
      <c r="L187" s="43">
        <f>SUBTOTAL(9,L177:L186)</f>
        <v>25637</v>
      </c>
      <c r="M187" s="453">
        <f>N187-K187</f>
        <v>1347</v>
      </c>
      <c r="N187" s="237">
        <f>SUBTOTAL(9,N177:N186)</f>
        <v>26172</v>
      </c>
    </row>
    <row r="188" spans="1:17" outlineLevel="6" x14ac:dyDescent="0.4">
      <c r="A188" s="70">
        <v>10</v>
      </c>
      <c r="B188" s="3" t="s">
        <v>451</v>
      </c>
      <c r="C188" s="3">
        <v>0</v>
      </c>
      <c r="D188" s="3">
        <v>300</v>
      </c>
      <c r="E188" s="3">
        <v>110</v>
      </c>
      <c r="F188" s="3">
        <v>200</v>
      </c>
      <c r="G188" s="3">
        <v>3120</v>
      </c>
      <c r="H188" s="31" t="s">
        <v>499</v>
      </c>
      <c r="I188" s="32">
        <v>10362</v>
      </c>
      <c r="J188" s="32">
        <v>0</v>
      </c>
      <c r="K188" s="147">
        <v>0</v>
      </c>
      <c r="L188" s="40">
        <f>10615+67</f>
        <v>10682</v>
      </c>
      <c r="M188" s="451">
        <f>N188-K188</f>
        <v>0</v>
      </c>
      <c r="N188" s="418">
        <v>0</v>
      </c>
    </row>
    <row r="189" spans="1:17" outlineLevel="6" x14ac:dyDescent="0.4">
      <c r="A189" s="70">
        <v>10</v>
      </c>
      <c r="B189" s="3" t="s">
        <v>451</v>
      </c>
      <c r="C189" s="3">
        <v>0</v>
      </c>
      <c r="D189" s="3">
        <v>300</v>
      </c>
      <c r="E189" s="3">
        <v>120</v>
      </c>
      <c r="F189" s="3">
        <v>200</v>
      </c>
      <c r="G189" s="3">
        <v>3120</v>
      </c>
      <c r="H189" s="31" t="s">
        <v>500</v>
      </c>
      <c r="I189" s="32">
        <v>0</v>
      </c>
      <c r="J189" s="32">
        <v>0</v>
      </c>
      <c r="K189" s="147">
        <v>0</v>
      </c>
      <c r="L189" s="40">
        <v>300</v>
      </c>
      <c r="M189" s="451">
        <f>N189-K189</f>
        <v>0</v>
      </c>
      <c r="N189" s="418">
        <v>0</v>
      </c>
    </row>
    <row r="190" spans="1:17" outlineLevel="6" x14ac:dyDescent="0.4">
      <c r="A190" s="70">
        <v>10</v>
      </c>
      <c r="B190" s="3" t="s">
        <v>451</v>
      </c>
      <c r="C190" s="3">
        <v>0</v>
      </c>
      <c r="D190" s="3">
        <v>300</v>
      </c>
      <c r="E190" s="3">
        <v>210</v>
      </c>
      <c r="F190" s="3">
        <v>200</v>
      </c>
      <c r="G190" s="3">
        <v>3120</v>
      </c>
      <c r="H190" s="31" t="s">
        <v>501</v>
      </c>
      <c r="I190" s="32">
        <v>17</v>
      </c>
      <c r="J190" s="32">
        <v>0</v>
      </c>
      <c r="K190" s="40">
        <v>0</v>
      </c>
      <c r="L190" s="40">
        <v>22</v>
      </c>
      <c r="M190" s="451">
        <f t="shared" ref="M190:M195" si="33">N190-K190</f>
        <v>0</v>
      </c>
      <c r="N190" s="417">
        <v>0</v>
      </c>
    </row>
    <row r="191" spans="1:17" outlineLevel="6" x14ac:dyDescent="0.4">
      <c r="A191" s="70">
        <v>10</v>
      </c>
      <c r="B191" s="3" t="s">
        <v>451</v>
      </c>
      <c r="C191" s="3">
        <v>0</v>
      </c>
      <c r="D191" s="3">
        <v>300</v>
      </c>
      <c r="E191" s="3">
        <v>215</v>
      </c>
      <c r="F191" s="3">
        <v>200</v>
      </c>
      <c r="G191" s="3">
        <v>3120</v>
      </c>
      <c r="H191" s="31" t="s">
        <v>67</v>
      </c>
      <c r="I191" s="32">
        <v>31</v>
      </c>
      <c r="J191" s="32">
        <v>0</v>
      </c>
      <c r="K191" s="40">
        <v>0</v>
      </c>
      <c r="L191" s="40">
        <v>33</v>
      </c>
      <c r="M191" s="451">
        <f t="shared" si="33"/>
        <v>0</v>
      </c>
      <c r="N191" s="417">
        <v>0</v>
      </c>
    </row>
    <row r="192" spans="1:17" outlineLevel="6" x14ac:dyDescent="0.4">
      <c r="A192" s="70">
        <v>10</v>
      </c>
      <c r="B192" s="3" t="s">
        <v>451</v>
      </c>
      <c r="C192" s="3">
        <v>0</v>
      </c>
      <c r="D192" s="3">
        <v>300</v>
      </c>
      <c r="E192" s="3">
        <v>221</v>
      </c>
      <c r="F192" s="3">
        <v>200</v>
      </c>
      <c r="G192" s="3">
        <v>3120</v>
      </c>
      <c r="H192" s="31" t="s">
        <v>502</v>
      </c>
      <c r="I192" s="32">
        <v>150</v>
      </c>
      <c r="J192" s="32">
        <v>0</v>
      </c>
      <c r="K192" s="40">
        <v>0</v>
      </c>
      <c r="L192" s="40">
        <v>160</v>
      </c>
      <c r="M192" s="451">
        <f t="shared" si="33"/>
        <v>0</v>
      </c>
      <c r="N192" s="417">
        <v>0</v>
      </c>
    </row>
    <row r="193" spans="1:17" outlineLevel="6" x14ac:dyDescent="0.4">
      <c r="A193" s="70">
        <v>10</v>
      </c>
      <c r="B193" s="3" t="s">
        <v>451</v>
      </c>
      <c r="C193" s="3">
        <v>0</v>
      </c>
      <c r="D193" s="3">
        <v>300</v>
      </c>
      <c r="E193" s="3">
        <v>230</v>
      </c>
      <c r="F193" s="3">
        <v>200</v>
      </c>
      <c r="G193" s="3">
        <v>3120</v>
      </c>
      <c r="H193" s="31" t="s">
        <v>503</v>
      </c>
      <c r="I193" s="32">
        <v>2045</v>
      </c>
      <c r="J193" s="32">
        <v>0</v>
      </c>
      <c r="K193" s="40">
        <v>0</v>
      </c>
      <c r="L193" s="40">
        <v>2241</v>
      </c>
      <c r="M193" s="451">
        <f t="shared" si="33"/>
        <v>0</v>
      </c>
      <c r="N193" s="417">
        <v>0</v>
      </c>
    </row>
    <row r="194" spans="1:17" outlineLevel="6" x14ac:dyDescent="0.4">
      <c r="A194" s="70">
        <v>10</v>
      </c>
      <c r="B194" s="3" t="s">
        <v>451</v>
      </c>
      <c r="C194" s="3">
        <v>0</v>
      </c>
      <c r="D194" s="3">
        <v>300</v>
      </c>
      <c r="E194" s="3">
        <v>250</v>
      </c>
      <c r="F194" s="3">
        <v>200</v>
      </c>
      <c r="G194" s="3">
        <v>3120</v>
      </c>
      <c r="H194" s="31" t="s">
        <v>504</v>
      </c>
      <c r="I194" s="32">
        <v>1445</v>
      </c>
      <c r="J194" s="32">
        <v>0</v>
      </c>
      <c r="K194" s="40">
        <v>0</v>
      </c>
      <c r="L194" s="40">
        <v>2044</v>
      </c>
      <c r="M194" s="451">
        <f t="shared" si="33"/>
        <v>0</v>
      </c>
      <c r="N194" s="417">
        <v>0</v>
      </c>
    </row>
    <row r="195" spans="1:17" ht="27" outlineLevel="6" thickBot="1" x14ac:dyDescent="0.45">
      <c r="A195" s="70">
        <v>10</v>
      </c>
      <c r="B195" s="3" t="s">
        <v>451</v>
      </c>
      <c r="C195" s="3">
        <v>0</v>
      </c>
      <c r="D195" s="3">
        <v>300</v>
      </c>
      <c r="E195" s="3">
        <v>600</v>
      </c>
      <c r="F195" s="3">
        <v>0</v>
      </c>
      <c r="G195" s="3">
        <v>3120</v>
      </c>
      <c r="H195" s="31" t="s">
        <v>505</v>
      </c>
      <c r="I195" s="32">
        <v>10</v>
      </c>
      <c r="J195" s="32">
        <v>0</v>
      </c>
      <c r="K195" s="40">
        <v>0</v>
      </c>
      <c r="L195" s="40">
        <v>300</v>
      </c>
      <c r="M195" s="451">
        <f t="shared" si="33"/>
        <v>0</v>
      </c>
      <c r="N195" s="417">
        <v>0</v>
      </c>
      <c r="Q195" s="509"/>
    </row>
    <row r="196" spans="1:17" ht="27" outlineLevel="5" thickBot="1" x14ac:dyDescent="0.45">
      <c r="A196" s="71"/>
      <c r="B196" s="6"/>
      <c r="C196" s="6"/>
      <c r="D196" s="9" t="s">
        <v>159</v>
      </c>
      <c r="E196" s="6"/>
      <c r="F196" s="6"/>
      <c r="G196" s="6"/>
      <c r="H196" s="41"/>
      <c r="I196" s="42">
        <f>SUBTOTAL(9,I188:I195)</f>
        <v>14060</v>
      </c>
      <c r="J196" s="42">
        <f>SUBTOTAL(9,J188:J195)</f>
        <v>0</v>
      </c>
      <c r="K196" s="43">
        <f>SUBTOTAL(9,K188:K195)</f>
        <v>0</v>
      </c>
      <c r="L196" s="43">
        <f>SUBTOTAL(9,L188:L195)</f>
        <v>15782</v>
      </c>
      <c r="M196" s="453">
        <f>N196-K196</f>
        <v>0</v>
      </c>
      <c r="N196" s="237">
        <f>SUBTOTAL(9,N188:N195)</f>
        <v>0</v>
      </c>
    </row>
    <row r="197" spans="1:17" outlineLevel="6" x14ac:dyDescent="0.4">
      <c r="A197" s="70">
        <v>10</v>
      </c>
      <c r="B197" s="3" t="s">
        <v>451</v>
      </c>
      <c r="C197" s="3">
        <v>0</v>
      </c>
      <c r="D197" s="3" t="s">
        <v>535</v>
      </c>
      <c r="E197" s="3">
        <v>110</v>
      </c>
      <c r="F197" s="3">
        <v>200</v>
      </c>
      <c r="G197" s="3" t="s">
        <v>439</v>
      </c>
      <c r="H197" s="31" t="s">
        <v>1496</v>
      </c>
      <c r="I197" s="32">
        <v>0</v>
      </c>
      <c r="J197" s="32">
        <v>0</v>
      </c>
      <c r="K197" s="147">
        <v>0</v>
      </c>
      <c r="L197" s="40">
        <v>5982</v>
      </c>
      <c r="M197" s="451">
        <f>N197-K197</f>
        <v>6015</v>
      </c>
      <c r="N197" s="418">
        <v>6015</v>
      </c>
      <c r="O197" s="29" t="s">
        <v>1504</v>
      </c>
    </row>
    <row r="198" spans="1:17" outlineLevel="6" x14ac:dyDescent="0.4">
      <c r="A198" s="70">
        <v>10</v>
      </c>
      <c r="B198" s="3" t="s">
        <v>451</v>
      </c>
      <c r="C198" s="3">
        <v>0</v>
      </c>
      <c r="D198" s="3" t="s">
        <v>535</v>
      </c>
      <c r="E198" s="3">
        <v>120</v>
      </c>
      <c r="F198" s="3">
        <v>200</v>
      </c>
      <c r="G198" s="3" t="s">
        <v>439</v>
      </c>
      <c r="H198" s="31" t="s">
        <v>1497</v>
      </c>
      <c r="I198" s="32">
        <v>0</v>
      </c>
      <c r="J198" s="32">
        <v>0</v>
      </c>
      <c r="K198" s="147">
        <v>0</v>
      </c>
      <c r="L198" s="40">
        <v>150</v>
      </c>
      <c r="M198" s="451">
        <f>N198-K198</f>
        <v>150</v>
      </c>
      <c r="N198" s="418">
        <v>150</v>
      </c>
      <c r="Q198" s="509"/>
    </row>
    <row r="199" spans="1:17" outlineLevel="6" x14ac:dyDescent="0.4">
      <c r="A199" s="70">
        <v>10</v>
      </c>
      <c r="B199" s="3" t="s">
        <v>451</v>
      </c>
      <c r="C199" s="3">
        <v>0</v>
      </c>
      <c r="D199" s="3" t="s">
        <v>535</v>
      </c>
      <c r="E199" s="3">
        <v>210</v>
      </c>
      <c r="F199" s="3">
        <v>200</v>
      </c>
      <c r="G199" s="3" t="s">
        <v>439</v>
      </c>
      <c r="H199" s="31" t="s">
        <v>1498</v>
      </c>
      <c r="I199" s="32">
        <v>0</v>
      </c>
      <c r="J199" s="32">
        <v>0</v>
      </c>
      <c r="K199" s="40">
        <v>0</v>
      </c>
      <c r="L199" s="40">
        <v>11</v>
      </c>
      <c r="M199" s="451">
        <f t="shared" ref="M199:M205" si="34">N199-K199</f>
        <v>11</v>
      </c>
      <c r="N199" s="417">
        <v>11</v>
      </c>
    </row>
    <row r="200" spans="1:17" outlineLevel="6" x14ac:dyDescent="0.4">
      <c r="A200" s="70">
        <v>10</v>
      </c>
      <c r="B200" s="3" t="s">
        <v>451</v>
      </c>
      <c r="C200" s="3">
        <v>0</v>
      </c>
      <c r="D200" s="3" t="s">
        <v>535</v>
      </c>
      <c r="E200" s="3">
        <v>215</v>
      </c>
      <c r="F200" s="3">
        <v>200</v>
      </c>
      <c r="G200" s="3" t="s">
        <v>439</v>
      </c>
      <c r="H200" s="31" t="s">
        <v>1499</v>
      </c>
      <c r="I200" s="32">
        <v>0</v>
      </c>
      <c r="J200" s="32">
        <v>0</v>
      </c>
      <c r="K200" s="40">
        <v>0</v>
      </c>
      <c r="L200" s="40">
        <v>19</v>
      </c>
      <c r="M200" s="451">
        <f t="shared" si="34"/>
        <v>19</v>
      </c>
      <c r="N200" s="417">
        <v>19</v>
      </c>
    </row>
    <row r="201" spans="1:17" outlineLevel="6" x14ac:dyDescent="0.4">
      <c r="A201" s="70">
        <v>10</v>
      </c>
      <c r="B201" s="3" t="s">
        <v>451</v>
      </c>
      <c r="C201" s="3">
        <v>0</v>
      </c>
      <c r="D201" s="3" t="s">
        <v>535</v>
      </c>
      <c r="E201" s="3">
        <v>221</v>
      </c>
      <c r="F201" s="3">
        <v>200</v>
      </c>
      <c r="G201" s="3" t="s">
        <v>439</v>
      </c>
      <c r="H201" s="31" t="s">
        <v>1500</v>
      </c>
      <c r="I201" s="32">
        <v>0</v>
      </c>
      <c r="J201" s="32">
        <v>0</v>
      </c>
      <c r="K201" s="40">
        <v>0</v>
      </c>
      <c r="L201" s="40">
        <v>89</v>
      </c>
      <c r="M201" s="451">
        <f t="shared" si="34"/>
        <v>90</v>
      </c>
      <c r="N201" s="417">
        <v>90</v>
      </c>
    </row>
    <row r="202" spans="1:17" outlineLevel="6" x14ac:dyDescent="0.4">
      <c r="A202" s="70">
        <v>10</v>
      </c>
      <c r="B202" s="3" t="s">
        <v>451</v>
      </c>
      <c r="C202" s="3">
        <v>0</v>
      </c>
      <c r="D202" s="3" t="s">
        <v>535</v>
      </c>
      <c r="E202" s="3">
        <v>230</v>
      </c>
      <c r="F202" s="3">
        <v>200</v>
      </c>
      <c r="G202" s="3" t="s">
        <v>439</v>
      </c>
      <c r="H202" s="31" t="s">
        <v>1501</v>
      </c>
      <c r="I202" s="32">
        <v>0</v>
      </c>
      <c r="J202" s="32">
        <v>0</v>
      </c>
      <c r="K202" s="40">
        <v>0</v>
      </c>
      <c r="L202" s="40">
        <v>1251</v>
      </c>
      <c r="M202" s="451">
        <f t="shared" si="34"/>
        <v>1258</v>
      </c>
      <c r="N202" s="417">
        <v>1258</v>
      </c>
    </row>
    <row r="203" spans="1:17" outlineLevel="6" x14ac:dyDescent="0.4">
      <c r="A203" s="70">
        <v>10</v>
      </c>
      <c r="B203" s="3" t="s">
        <v>451</v>
      </c>
      <c r="C203" s="3">
        <v>0</v>
      </c>
      <c r="D203" s="3" t="s">
        <v>535</v>
      </c>
      <c r="E203" s="3">
        <v>250</v>
      </c>
      <c r="F203" s="3">
        <v>200</v>
      </c>
      <c r="G203" s="3" t="s">
        <v>439</v>
      </c>
      <c r="H203" s="31" t="s">
        <v>1502</v>
      </c>
      <c r="I203" s="32">
        <v>0</v>
      </c>
      <c r="J203" s="32">
        <v>0</v>
      </c>
      <c r="K203" s="40">
        <v>0</v>
      </c>
      <c r="L203" s="40">
        <v>1022</v>
      </c>
      <c r="M203" s="451">
        <f t="shared" si="34"/>
        <v>1029</v>
      </c>
      <c r="N203" s="417">
        <v>1029</v>
      </c>
    </row>
    <row r="204" spans="1:17" outlineLevel="6" x14ac:dyDescent="0.4">
      <c r="A204" s="70">
        <v>10</v>
      </c>
      <c r="B204" s="3" t="s">
        <v>451</v>
      </c>
      <c r="C204" s="3">
        <v>0</v>
      </c>
      <c r="D204" s="3" t="s">
        <v>535</v>
      </c>
      <c r="E204" s="3" t="s">
        <v>2287</v>
      </c>
      <c r="F204" s="3">
        <v>200</v>
      </c>
      <c r="G204" s="3" t="s">
        <v>2285</v>
      </c>
      <c r="H204" s="31" t="s">
        <v>2409</v>
      </c>
      <c r="I204" s="32">
        <v>0</v>
      </c>
      <c r="J204" s="32">
        <v>0</v>
      </c>
      <c r="K204" s="40">
        <v>0</v>
      </c>
      <c r="L204" s="40">
        <v>0</v>
      </c>
      <c r="M204" s="451">
        <f t="shared" ref="M204" si="35">N204-K204</f>
        <v>185</v>
      </c>
      <c r="N204" s="417">
        <v>185</v>
      </c>
      <c r="Q204" s="509"/>
    </row>
    <row r="205" spans="1:17" ht="27" outlineLevel="6" thickBot="1" x14ac:dyDescent="0.45">
      <c r="A205" s="70">
        <v>10</v>
      </c>
      <c r="B205" s="3" t="s">
        <v>451</v>
      </c>
      <c r="C205" s="3">
        <v>0</v>
      </c>
      <c r="D205" s="3" t="s">
        <v>535</v>
      </c>
      <c r="E205" s="3">
        <v>600</v>
      </c>
      <c r="F205" s="3">
        <v>0</v>
      </c>
      <c r="G205" s="3" t="s">
        <v>439</v>
      </c>
      <c r="H205" s="31" t="s">
        <v>1503</v>
      </c>
      <c r="I205" s="32">
        <v>0</v>
      </c>
      <c r="J205" s="32">
        <v>0</v>
      </c>
      <c r="K205" s="40">
        <v>0</v>
      </c>
      <c r="L205" s="40">
        <v>300</v>
      </c>
      <c r="M205" s="451">
        <f t="shared" si="34"/>
        <v>300</v>
      </c>
      <c r="N205" s="417">
        <v>300</v>
      </c>
      <c r="Q205" s="509"/>
    </row>
    <row r="206" spans="1:17" ht="27" outlineLevel="5" thickBot="1" x14ac:dyDescent="0.45">
      <c r="A206" s="71"/>
      <c r="B206" s="6"/>
      <c r="C206" s="6"/>
      <c r="D206" s="9" t="s">
        <v>159</v>
      </c>
      <c r="E206" s="6"/>
      <c r="F206" s="6"/>
      <c r="G206" s="6"/>
      <c r="H206" s="41"/>
      <c r="I206" s="42">
        <f>SUBTOTAL(9,I197:I205)</f>
        <v>0</v>
      </c>
      <c r="J206" s="42">
        <f>SUBTOTAL(9,J197:J205)</f>
        <v>0</v>
      </c>
      <c r="K206" s="43">
        <f>SUBTOTAL(9,K197:K205)</f>
        <v>0</v>
      </c>
      <c r="L206" s="43">
        <f>SUBTOTAL(9,L197:L205)</f>
        <v>8824</v>
      </c>
      <c r="M206" s="453">
        <f>N206-K206</f>
        <v>9057</v>
      </c>
      <c r="N206" s="237">
        <f>SUBTOTAL(9,N197:N205)</f>
        <v>9057</v>
      </c>
    </row>
    <row r="207" spans="1:17" outlineLevel="6" x14ac:dyDescent="0.4">
      <c r="A207" s="70">
        <v>10</v>
      </c>
      <c r="B207" s="3">
        <v>200</v>
      </c>
      <c r="C207" s="3">
        <v>0</v>
      </c>
      <c r="D207" s="3">
        <v>1800</v>
      </c>
      <c r="E207" s="3">
        <v>110</v>
      </c>
      <c r="F207" s="3">
        <v>200</v>
      </c>
      <c r="G207" s="3">
        <v>0</v>
      </c>
      <c r="H207" s="31" t="s">
        <v>144</v>
      </c>
      <c r="I207" s="32">
        <v>7242</v>
      </c>
      <c r="J207" s="32">
        <v>5542</v>
      </c>
      <c r="K207" s="40">
        <v>7250</v>
      </c>
      <c r="L207" s="40">
        <v>7250</v>
      </c>
      <c r="M207" s="451">
        <f>N207-K207</f>
        <v>0</v>
      </c>
      <c r="N207" s="417">
        <v>7250</v>
      </c>
      <c r="Q207" s="509"/>
    </row>
    <row r="208" spans="1:17" outlineLevel="6" x14ac:dyDescent="0.4">
      <c r="A208" s="70">
        <v>10</v>
      </c>
      <c r="B208" s="3">
        <v>200</v>
      </c>
      <c r="C208" s="3">
        <v>0</v>
      </c>
      <c r="D208" s="3">
        <v>1800</v>
      </c>
      <c r="E208" s="3">
        <v>215</v>
      </c>
      <c r="F208" s="3">
        <v>200</v>
      </c>
      <c r="G208" s="3">
        <v>0</v>
      </c>
      <c r="H208" s="31" t="s">
        <v>67</v>
      </c>
      <c r="I208" s="32">
        <v>22</v>
      </c>
      <c r="J208" s="32">
        <v>17</v>
      </c>
      <c r="K208" s="40">
        <v>22</v>
      </c>
      <c r="L208" s="40">
        <v>22</v>
      </c>
      <c r="M208" s="451">
        <f t="shared" ref="M208:M216" si="36">N208-K208</f>
        <v>0</v>
      </c>
      <c r="N208" s="417">
        <v>22</v>
      </c>
    </row>
    <row r="209" spans="1:17" outlineLevel="6" x14ac:dyDescent="0.4">
      <c r="A209" s="70">
        <v>10</v>
      </c>
      <c r="B209" s="3">
        <v>200</v>
      </c>
      <c r="C209" s="3">
        <v>0</v>
      </c>
      <c r="D209" s="3">
        <v>1800</v>
      </c>
      <c r="E209" s="3">
        <v>221</v>
      </c>
      <c r="F209" s="3">
        <v>200</v>
      </c>
      <c r="G209" s="3">
        <v>0</v>
      </c>
      <c r="H209" s="31" t="s">
        <v>145</v>
      </c>
      <c r="I209" s="32">
        <v>105</v>
      </c>
      <c r="J209" s="32">
        <v>60</v>
      </c>
      <c r="K209" s="40">
        <v>106</v>
      </c>
      <c r="L209" s="40">
        <v>106</v>
      </c>
      <c r="M209" s="451">
        <f t="shared" si="36"/>
        <v>0</v>
      </c>
      <c r="N209" s="417">
        <v>106</v>
      </c>
    </row>
    <row r="210" spans="1:17" outlineLevel="6" x14ac:dyDescent="0.4">
      <c r="A210" s="70">
        <v>10</v>
      </c>
      <c r="B210" s="3">
        <v>200</v>
      </c>
      <c r="C210" s="3">
        <v>0</v>
      </c>
      <c r="D210" s="3">
        <v>1800</v>
      </c>
      <c r="E210" s="3">
        <v>230</v>
      </c>
      <c r="F210" s="3">
        <v>200</v>
      </c>
      <c r="G210" s="3">
        <v>0</v>
      </c>
      <c r="H210" s="31" t="s">
        <v>146</v>
      </c>
      <c r="I210" s="32">
        <v>1442</v>
      </c>
      <c r="J210" s="32">
        <v>1128</v>
      </c>
      <c r="K210" s="40">
        <v>1461</v>
      </c>
      <c r="L210" s="40">
        <v>1479</v>
      </c>
      <c r="M210" s="451">
        <f t="shared" si="36"/>
        <v>18</v>
      </c>
      <c r="N210" s="417">
        <v>1479</v>
      </c>
      <c r="Q210" s="509"/>
    </row>
    <row r="211" spans="1:17" outlineLevel="6" x14ac:dyDescent="0.4">
      <c r="A211" s="70">
        <v>10</v>
      </c>
      <c r="B211" s="3">
        <v>200</v>
      </c>
      <c r="C211" s="3">
        <v>0</v>
      </c>
      <c r="D211" s="3">
        <v>1800</v>
      </c>
      <c r="E211" s="3">
        <v>339</v>
      </c>
      <c r="F211" s="3">
        <v>0</v>
      </c>
      <c r="G211" s="3">
        <v>0</v>
      </c>
      <c r="H211" s="31" t="s">
        <v>147</v>
      </c>
      <c r="I211" s="32">
        <v>1491</v>
      </c>
      <c r="J211" s="32">
        <v>960</v>
      </c>
      <c r="K211" s="40">
        <v>1500</v>
      </c>
      <c r="L211" s="40">
        <v>1500</v>
      </c>
      <c r="M211" s="451">
        <f t="shared" si="36"/>
        <v>0</v>
      </c>
      <c r="N211" s="417">
        <v>1500</v>
      </c>
      <c r="Q211" s="509"/>
    </row>
    <row r="212" spans="1:17" outlineLevel="6" x14ac:dyDescent="0.4">
      <c r="A212" s="70" t="s">
        <v>40</v>
      </c>
      <c r="B212" s="3" t="s">
        <v>451</v>
      </c>
      <c r="C212" s="3" t="s">
        <v>448</v>
      </c>
      <c r="D212" s="3" t="s">
        <v>1108</v>
      </c>
      <c r="E212" s="3" t="s">
        <v>1109</v>
      </c>
      <c r="F212" s="3" t="s">
        <v>448</v>
      </c>
      <c r="G212" s="3" t="s">
        <v>448</v>
      </c>
      <c r="H212" s="31" t="s">
        <v>1110</v>
      </c>
      <c r="I212" s="32">
        <v>159</v>
      </c>
      <c r="J212" s="32">
        <v>13</v>
      </c>
      <c r="K212" s="40">
        <v>200</v>
      </c>
      <c r="L212" s="40">
        <v>200</v>
      </c>
      <c r="M212" s="451">
        <f t="shared" si="36"/>
        <v>0</v>
      </c>
      <c r="N212" s="417">
        <v>200</v>
      </c>
    </row>
    <row r="213" spans="1:17" outlineLevel="6" x14ac:dyDescent="0.4">
      <c r="A213" s="70">
        <v>10</v>
      </c>
      <c r="B213" s="3">
        <v>200</v>
      </c>
      <c r="C213" s="3">
        <v>0</v>
      </c>
      <c r="D213" s="3">
        <v>1800</v>
      </c>
      <c r="E213" s="3">
        <v>580</v>
      </c>
      <c r="F213" s="3">
        <v>0</v>
      </c>
      <c r="G213" s="3">
        <v>0</v>
      </c>
      <c r="H213" s="31" t="s">
        <v>148</v>
      </c>
      <c r="I213" s="32">
        <v>499</v>
      </c>
      <c r="J213" s="32">
        <v>504</v>
      </c>
      <c r="K213" s="40">
        <v>520</v>
      </c>
      <c r="L213" s="40">
        <v>520</v>
      </c>
      <c r="M213" s="451">
        <f t="shared" si="36"/>
        <v>0</v>
      </c>
      <c r="N213" s="417">
        <v>520</v>
      </c>
      <c r="Q213" s="509"/>
    </row>
    <row r="214" spans="1:17" outlineLevel="6" x14ac:dyDescent="0.4">
      <c r="A214" s="70" t="s">
        <v>40</v>
      </c>
      <c r="B214" s="3" t="s">
        <v>451</v>
      </c>
      <c r="C214" s="3" t="s">
        <v>448</v>
      </c>
      <c r="D214" s="3" t="s">
        <v>1108</v>
      </c>
      <c r="E214" s="3" t="s">
        <v>1111</v>
      </c>
      <c r="F214" s="3" t="s">
        <v>448</v>
      </c>
      <c r="G214" s="3" t="s">
        <v>448</v>
      </c>
      <c r="H214" s="31" t="s">
        <v>1112</v>
      </c>
      <c r="I214" s="32">
        <v>249</v>
      </c>
      <c r="J214" s="32">
        <v>492</v>
      </c>
      <c r="K214" s="40">
        <v>400</v>
      </c>
      <c r="L214" s="40">
        <v>400</v>
      </c>
      <c r="M214" s="451">
        <f t="shared" si="36"/>
        <v>0</v>
      </c>
      <c r="N214" s="417">
        <v>400</v>
      </c>
    </row>
    <row r="215" spans="1:17" outlineLevel="6" x14ac:dyDescent="0.4">
      <c r="A215" s="70">
        <v>10</v>
      </c>
      <c r="B215" s="3">
        <v>200</v>
      </c>
      <c r="C215" s="3">
        <v>0</v>
      </c>
      <c r="D215" s="3">
        <v>1800</v>
      </c>
      <c r="E215" s="3">
        <v>611</v>
      </c>
      <c r="F215" s="3">
        <v>0</v>
      </c>
      <c r="G215" s="3" t="s">
        <v>1448</v>
      </c>
      <c r="H215" s="31" t="s">
        <v>1484</v>
      </c>
      <c r="I215" s="32">
        <v>0</v>
      </c>
      <c r="J215" s="32">
        <v>337</v>
      </c>
      <c r="K215" s="40">
        <v>0</v>
      </c>
      <c r="L215" s="40">
        <v>4662</v>
      </c>
      <c r="M215" s="451">
        <f t="shared" si="36"/>
        <v>4662</v>
      </c>
      <c r="N215" s="417">
        <v>4662</v>
      </c>
      <c r="Q215" s="509"/>
    </row>
    <row r="216" spans="1:17" ht="27" outlineLevel="6" thickBot="1" x14ac:dyDescent="0.45">
      <c r="A216" s="70">
        <v>10</v>
      </c>
      <c r="B216" s="3">
        <v>200</v>
      </c>
      <c r="C216" s="3">
        <v>0</v>
      </c>
      <c r="D216" s="3">
        <v>1800</v>
      </c>
      <c r="E216" s="3">
        <v>810</v>
      </c>
      <c r="F216" s="3">
        <v>0</v>
      </c>
      <c r="G216" s="3">
        <v>0</v>
      </c>
      <c r="H216" s="31" t="s">
        <v>149</v>
      </c>
      <c r="I216" s="32">
        <v>902</v>
      </c>
      <c r="J216" s="32">
        <v>840</v>
      </c>
      <c r="K216" s="40">
        <v>1000</v>
      </c>
      <c r="L216" s="40">
        <v>1000</v>
      </c>
      <c r="M216" s="451">
        <f t="shared" si="36"/>
        <v>0</v>
      </c>
      <c r="N216" s="417">
        <v>1000</v>
      </c>
      <c r="Q216" s="509"/>
    </row>
    <row r="217" spans="1:17" ht="27" outlineLevel="5" thickBot="1" x14ac:dyDescent="0.45">
      <c r="A217" s="71"/>
      <c r="B217" s="6"/>
      <c r="C217" s="6"/>
      <c r="D217" s="9" t="s">
        <v>150</v>
      </c>
      <c r="E217" s="6"/>
      <c r="F217" s="6"/>
      <c r="G217" s="6"/>
      <c r="H217" s="41"/>
      <c r="I217" s="42">
        <f>SUBTOTAL(9,I207:I216)</f>
        <v>12111</v>
      </c>
      <c r="J217" s="42">
        <f>SUBTOTAL(9,J207:J216)</f>
        <v>9893</v>
      </c>
      <c r="K217" s="43">
        <f>SUBTOTAL(9,K207:K216)</f>
        <v>12459</v>
      </c>
      <c r="L217" s="43">
        <f>SUBTOTAL(9,L207:L216)</f>
        <v>17139</v>
      </c>
      <c r="M217" s="453">
        <f>N217-K217</f>
        <v>4680</v>
      </c>
      <c r="N217" s="237">
        <f>SUBTOTAL(9,N207:N216)</f>
        <v>17139</v>
      </c>
    </row>
    <row r="218" spans="1:17" ht="27" outlineLevel="4" thickBot="1" x14ac:dyDescent="0.45">
      <c r="A218" s="73"/>
      <c r="B218" s="8" t="s">
        <v>151</v>
      </c>
      <c r="C218" s="7"/>
      <c r="D218" s="7"/>
      <c r="E218" s="7"/>
      <c r="F218" s="7"/>
      <c r="G218" s="7"/>
      <c r="H218" s="45"/>
      <c r="I218" s="46">
        <f>SUBTOTAL(9,I147:I216)</f>
        <v>168222</v>
      </c>
      <c r="J218" s="46">
        <f>SUBTOTAL(9,J147:J216)</f>
        <v>149721</v>
      </c>
      <c r="K218" s="47">
        <f>SUBTOTAL(9,K147:K217)</f>
        <v>151851.5</v>
      </c>
      <c r="L218" s="47">
        <f>SUBTOTAL(9,L147:L216)</f>
        <v>144437</v>
      </c>
      <c r="M218" s="454">
        <f>N218-K218</f>
        <v>-22952.5</v>
      </c>
      <c r="N218" s="419">
        <f>SUBTOTAL(9,N147:N217)</f>
        <v>128899</v>
      </c>
    </row>
    <row r="219" spans="1:17" outlineLevel="6" x14ac:dyDescent="0.4">
      <c r="A219" s="70">
        <v>10</v>
      </c>
      <c r="B219" s="3">
        <v>300</v>
      </c>
      <c r="C219" s="3">
        <v>0</v>
      </c>
      <c r="D219" s="3">
        <v>300</v>
      </c>
      <c r="E219" s="3">
        <v>110</v>
      </c>
      <c r="F219" s="3" t="s">
        <v>494</v>
      </c>
      <c r="G219" s="3" t="s">
        <v>448</v>
      </c>
      <c r="H219" s="31" t="s">
        <v>152</v>
      </c>
      <c r="I219" s="32">
        <v>0</v>
      </c>
      <c r="J219" s="32">
        <v>0</v>
      </c>
      <c r="K219" s="40">
        <v>0</v>
      </c>
      <c r="L219" s="40">
        <f>5308+34</f>
        <v>5342</v>
      </c>
      <c r="M219" s="451">
        <f>N219-K219</f>
        <v>3938</v>
      </c>
      <c r="N219" s="417">
        <v>3938</v>
      </c>
      <c r="O219" s="29" t="s">
        <v>2382</v>
      </c>
    </row>
    <row r="220" spans="1:17" outlineLevel="6" x14ac:dyDescent="0.4">
      <c r="A220" s="70">
        <v>10</v>
      </c>
      <c r="B220" s="3">
        <v>300</v>
      </c>
      <c r="C220" s="3">
        <v>0</v>
      </c>
      <c r="D220" s="3">
        <v>300</v>
      </c>
      <c r="E220" s="3">
        <v>120</v>
      </c>
      <c r="F220" s="3" t="s">
        <v>494</v>
      </c>
      <c r="G220" s="3" t="s">
        <v>448</v>
      </c>
      <c r="H220" s="31" t="s">
        <v>153</v>
      </c>
      <c r="I220" s="32">
        <v>25</v>
      </c>
      <c r="J220" s="32">
        <v>0</v>
      </c>
      <c r="K220" s="40">
        <v>0</v>
      </c>
      <c r="L220" s="40">
        <v>150</v>
      </c>
      <c r="M220" s="451">
        <f t="shared" ref="M220:M227" si="37">N220-K220</f>
        <v>150</v>
      </c>
      <c r="N220" s="417">
        <v>150</v>
      </c>
      <c r="Q220" s="509"/>
    </row>
    <row r="221" spans="1:17" outlineLevel="6" x14ac:dyDescent="0.4">
      <c r="A221" s="70">
        <v>10</v>
      </c>
      <c r="B221" s="3">
        <v>300</v>
      </c>
      <c r="C221" s="3">
        <v>0</v>
      </c>
      <c r="D221" s="3">
        <v>300</v>
      </c>
      <c r="E221" s="3">
        <v>210</v>
      </c>
      <c r="F221" s="3" t="s">
        <v>494</v>
      </c>
      <c r="G221" s="3" t="s">
        <v>448</v>
      </c>
      <c r="H221" s="31" t="s">
        <v>154</v>
      </c>
      <c r="I221" s="32">
        <v>0</v>
      </c>
      <c r="J221" s="32">
        <v>0</v>
      </c>
      <c r="K221" s="40">
        <v>0</v>
      </c>
      <c r="L221" s="40">
        <v>11</v>
      </c>
      <c r="M221" s="451">
        <f t="shared" si="37"/>
        <v>11</v>
      </c>
      <c r="N221" s="417">
        <v>11</v>
      </c>
    </row>
    <row r="222" spans="1:17" outlineLevel="6" x14ac:dyDescent="0.4">
      <c r="A222" s="70">
        <v>10</v>
      </c>
      <c r="B222" s="3">
        <v>300</v>
      </c>
      <c r="C222" s="3">
        <v>0</v>
      </c>
      <c r="D222" s="3">
        <v>300</v>
      </c>
      <c r="E222" s="3">
        <v>215</v>
      </c>
      <c r="F222" s="3" t="s">
        <v>494</v>
      </c>
      <c r="G222" s="3" t="s">
        <v>448</v>
      </c>
      <c r="H222" s="31" t="s">
        <v>67</v>
      </c>
      <c r="I222" s="32">
        <v>0</v>
      </c>
      <c r="J222" s="32">
        <v>0</v>
      </c>
      <c r="K222" s="40">
        <v>0</v>
      </c>
      <c r="L222" s="40">
        <v>17</v>
      </c>
      <c r="M222" s="451">
        <f t="shared" si="37"/>
        <v>13</v>
      </c>
      <c r="N222" s="417">
        <v>13</v>
      </c>
    </row>
    <row r="223" spans="1:17" outlineLevel="6" x14ac:dyDescent="0.4">
      <c r="A223" s="70">
        <v>10</v>
      </c>
      <c r="B223" s="3">
        <v>300</v>
      </c>
      <c r="C223" s="3">
        <v>0</v>
      </c>
      <c r="D223" s="3">
        <v>300</v>
      </c>
      <c r="E223" s="3">
        <v>221</v>
      </c>
      <c r="F223" s="3" t="s">
        <v>494</v>
      </c>
      <c r="G223" s="3" t="s">
        <v>448</v>
      </c>
      <c r="H223" s="31" t="s">
        <v>155</v>
      </c>
      <c r="I223" s="32">
        <v>0</v>
      </c>
      <c r="J223" s="32">
        <v>0</v>
      </c>
      <c r="K223" s="40">
        <v>0</v>
      </c>
      <c r="L223" s="40">
        <v>80</v>
      </c>
      <c r="M223" s="451">
        <f t="shared" si="37"/>
        <v>60</v>
      </c>
      <c r="N223" s="417">
        <v>60</v>
      </c>
    </row>
    <row r="224" spans="1:17" outlineLevel="6" x14ac:dyDescent="0.4">
      <c r="A224" s="70">
        <v>10</v>
      </c>
      <c r="B224" s="3">
        <v>300</v>
      </c>
      <c r="C224" s="3">
        <v>0</v>
      </c>
      <c r="D224" s="3">
        <v>300</v>
      </c>
      <c r="E224" s="3">
        <v>230</v>
      </c>
      <c r="F224" s="3" t="s">
        <v>494</v>
      </c>
      <c r="G224" s="3" t="s">
        <v>448</v>
      </c>
      <c r="H224" s="31" t="s">
        <v>156</v>
      </c>
      <c r="I224" s="32">
        <v>5</v>
      </c>
      <c r="J224" s="32">
        <v>0</v>
      </c>
      <c r="K224" s="40">
        <v>0</v>
      </c>
      <c r="L224" s="40">
        <v>1121</v>
      </c>
      <c r="M224" s="451">
        <f t="shared" si="37"/>
        <v>841</v>
      </c>
      <c r="N224" s="417">
        <v>841</v>
      </c>
    </row>
    <row r="225" spans="1:17" outlineLevel="6" x14ac:dyDescent="0.4">
      <c r="A225" s="70">
        <v>10</v>
      </c>
      <c r="B225" s="3">
        <v>300</v>
      </c>
      <c r="C225" s="3">
        <v>0</v>
      </c>
      <c r="D225" s="3">
        <v>300</v>
      </c>
      <c r="E225" s="3">
        <v>250</v>
      </c>
      <c r="F225" s="3" t="s">
        <v>494</v>
      </c>
      <c r="G225" s="3" t="s">
        <v>448</v>
      </c>
      <c r="H225" s="31" t="s">
        <v>157</v>
      </c>
      <c r="I225" s="32">
        <v>0</v>
      </c>
      <c r="J225" s="32">
        <v>0</v>
      </c>
      <c r="K225" s="40">
        <v>0</v>
      </c>
      <c r="L225" s="40">
        <v>1022</v>
      </c>
      <c r="M225" s="451">
        <f t="shared" si="37"/>
        <v>1029</v>
      </c>
      <c r="N225" s="417">
        <v>1029</v>
      </c>
    </row>
    <row r="226" spans="1:17" outlineLevel="6" x14ac:dyDescent="0.4">
      <c r="A226" s="70">
        <v>10</v>
      </c>
      <c r="B226" s="3">
        <v>300</v>
      </c>
      <c r="C226" s="3">
        <v>0</v>
      </c>
      <c r="D226" s="3">
        <v>300</v>
      </c>
      <c r="E226" s="3" t="s">
        <v>2287</v>
      </c>
      <c r="F226" s="3" t="s">
        <v>494</v>
      </c>
      <c r="G226" s="3" t="s">
        <v>2285</v>
      </c>
      <c r="H226" s="31" t="s">
        <v>2410</v>
      </c>
      <c r="I226" s="32">
        <v>0</v>
      </c>
      <c r="J226" s="32">
        <v>0</v>
      </c>
      <c r="K226" s="40">
        <v>0</v>
      </c>
      <c r="L226" s="40">
        <v>0</v>
      </c>
      <c r="M226" s="451">
        <f t="shared" ref="M226" si="38">N226-K226</f>
        <v>123</v>
      </c>
      <c r="N226" s="417">
        <v>123</v>
      </c>
      <c r="Q226" s="509"/>
    </row>
    <row r="227" spans="1:17" ht="27" outlineLevel="6" thickBot="1" x14ac:dyDescent="0.45">
      <c r="A227" s="70">
        <v>10</v>
      </c>
      <c r="B227" s="3">
        <v>300</v>
      </c>
      <c r="C227" s="3">
        <v>0</v>
      </c>
      <c r="D227" s="3">
        <v>300</v>
      </c>
      <c r="E227" s="3">
        <v>600</v>
      </c>
      <c r="F227" s="3" t="s">
        <v>448</v>
      </c>
      <c r="G227" s="3" t="s">
        <v>448</v>
      </c>
      <c r="H227" s="31" t="s">
        <v>158</v>
      </c>
      <c r="I227" s="32">
        <v>0</v>
      </c>
      <c r="J227" s="32">
        <v>0</v>
      </c>
      <c r="K227" s="40">
        <v>0</v>
      </c>
      <c r="L227" s="40">
        <v>300</v>
      </c>
      <c r="M227" s="451">
        <f t="shared" si="37"/>
        <v>300</v>
      </c>
      <c r="N227" s="417">
        <v>300</v>
      </c>
      <c r="Q227" s="509"/>
    </row>
    <row r="228" spans="1:17" ht="27" outlineLevel="5" thickBot="1" x14ac:dyDescent="0.45">
      <c r="A228" s="71"/>
      <c r="B228" s="6"/>
      <c r="C228" s="6"/>
      <c r="D228" s="9" t="s">
        <v>159</v>
      </c>
      <c r="E228" s="6"/>
      <c r="F228" s="6"/>
      <c r="G228" s="6"/>
      <c r="H228" s="41"/>
      <c r="I228" s="42">
        <f>SUBTOTAL(9,I219:I227)</f>
        <v>30</v>
      </c>
      <c r="J228" s="42">
        <f>SUBTOTAL(9,J219:J227)</f>
        <v>0</v>
      </c>
      <c r="K228" s="43">
        <f>SUBTOTAL(9,K219:K227)</f>
        <v>0</v>
      </c>
      <c r="L228" s="43">
        <f>SUBTOTAL(9,L219:L227)</f>
        <v>8043</v>
      </c>
      <c r="M228" s="453">
        <f>N228-K228</f>
        <v>6465</v>
      </c>
      <c r="N228" s="237">
        <f>SUBTOTAL(9,N219:N227)</f>
        <v>6465</v>
      </c>
    </row>
    <row r="229" spans="1:17" outlineLevel="6" x14ac:dyDescent="0.4">
      <c r="A229" s="70">
        <v>10</v>
      </c>
      <c r="B229" s="3">
        <v>300</v>
      </c>
      <c r="C229" s="3">
        <v>0</v>
      </c>
      <c r="D229" s="3">
        <v>500</v>
      </c>
      <c r="E229" s="3">
        <v>110</v>
      </c>
      <c r="F229" s="3">
        <v>200</v>
      </c>
      <c r="G229" s="3">
        <v>0</v>
      </c>
      <c r="H229" s="31" t="s">
        <v>160</v>
      </c>
      <c r="I229" s="32">
        <v>40246</v>
      </c>
      <c r="J229" s="32">
        <v>40840</v>
      </c>
      <c r="K229" s="348">
        <f>40640+200</f>
        <v>40840</v>
      </c>
      <c r="L229" s="141">
        <v>27510</v>
      </c>
      <c r="M229" s="451">
        <f>N229-K229</f>
        <v>-13330</v>
      </c>
      <c r="N229" s="415">
        <v>27510</v>
      </c>
      <c r="O229" s="29" t="s">
        <v>1455</v>
      </c>
    </row>
    <row r="230" spans="1:17" outlineLevel="6" x14ac:dyDescent="0.4">
      <c r="A230" s="70">
        <v>10</v>
      </c>
      <c r="B230" s="3">
        <v>300</v>
      </c>
      <c r="C230" s="3">
        <v>0</v>
      </c>
      <c r="D230" s="3">
        <v>500</v>
      </c>
      <c r="E230" s="3">
        <v>120</v>
      </c>
      <c r="F230" s="3">
        <v>200</v>
      </c>
      <c r="G230" s="3">
        <v>0</v>
      </c>
      <c r="H230" s="31" t="s">
        <v>161</v>
      </c>
      <c r="I230" s="32">
        <v>750</v>
      </c>
      <c r="J230" s="32">
        <v>925</v>
      </c>
      <c r="K230" s="346">
        <v>900</v>
      </c>
      <c r="L230" s="141">
        <v>600</v>
      </c>
      <c r="M230" s="451">
        <f t="shared" ref="M230:M238" si="39">N230-K230</f>
        <v>-300</v>
      </c>
      <c r="N230" s="414">
        <v>600</v>
      </c>
      <c r="Q230" s="509"/>
    </row>
    <row r="231" spans="1:17" outlineLevel="6" x14ac:dyDescent="0.4">
      <c r="A231" s="70">
        <v>10</v>
      </c>
      <c r="B231" s="3">
        <v>300</v>
      </c>
      <c r="C231" s="3">
        <v>0</v>
      </c>
      <c r="D231" s="3">
        <v>500</v>
      </c>
      <c r="E231" s="3">
        <v>210</v>
      </c>
      <c r="F231" s="3">
        <v>200</v>
      </c>
      <c r="G231" s="3">
        <v>0</v>
      </c>
      <c r="H231" s="31" t="s">
        <v>162</v>
      </c>
      <c r="I231" s="32">
        <v>66</v>
      </c>
      <c r="J231" s="32">
        <v>65</v>
      </c>
      <c r="K231" s="346">
        <v>66</v>
      </c>
      <c r="L231" s="141">
        <v>22</v>
      </c>
      <c r="M231" s="451">
        <f t="shared" si="39"/>
        <v>-44</v>
      </c>
      <c r="N231" s="414">
        <v>22</v>
      </c>
    </row>
    <row r="232" spans="1:17" outlineLevel="6" x14ac:dyDescent="0.4">
      <c r="A232" s="70">
        <v>10</v>
      </c>
      <c r="B232" s="3">
        <v>300</v>
      </c>
      <c r="C232" s="3">
        <v>0</v>
      </c>
      <c r="D232" s="3">
        <v>500</v>
      </c>
      <c r="E232" s="3">
        <v>215</v>
      </c>
      <c r="F232" s="3">
        <v>200</v>
      </c>
      <c r="G232" s="3">
        <v>0</v>
      </c>
      <c r="H232" s="31" t="s">
        <v>67</v>
      </c>
      <c r="I232" s="32">
        <v>117</v>
      </c>
      <c r="J232" s="32">
        <v>126</v>
      </c>
      <c r="K232" s="346">
        <f>125+1</f>
        <v>126</v>
      </c>
      <c r="L232" s="141">
        <v>85</v>
      </c>
      <c r="M232" s="451">
        <f t="shared" si="39"/>
        <v>-41</v>
      </c>
      <c r="N232" s="414">
        <v>85</v>
      </c>
    </row>
    <row r="233" spans="1:17" outlineLevel="6" x14ac:dyDescent="0.4">
      <c r="A233" s="70">
        <v>10</v>
      </c>
      <c r="B233" s="3">
        <v>300</v>
      </c>
      <c r="C233" s="3">
        <v>0</v>
      </c>
      <c r="D233" s="3">
        <v>500</v>
      </c>
      <c r="E233" s="3">
        <v>221</v>
      </c>
      <c r="F233" s="3">
        <v>200</v>
      </c>
      <c r="G233" s="3">
        <v>0</v>
      </c>
      <c r="H233" s="31" t="s">
        <v>163</v>
      </c>
      <c r="I233" s="32">
        <v>563</v>
      </c>
      <c r="J233" s="32">
        <v>608</v>
      </c>
      <c r="K233" s="346">
        <f>603+3</f>
        <v>606</v>
      </c>
      <c r="L233" s="141">
        <v>408</v>
      </c>
      <c r="M233" s="451">
        <f t="shared" si="39"/>
        <v>-198</v>
      </c>
      <c r="N233" s="414">
        <v>408</v>
      </c>
    </row>
    <row r="234" spans="1:17" outlineLevel="6" x14ac:dyDescent="0.4">
      <c r="A234" s="70">
        <v>10</v>
      </c>
      <c r="B234" s="3">
        <v>300</v>
      </c>
      <c r="C234" s="3">
        <v>0</v>
      </c>
      <c r="D234" s="3">
        <v>500</v>
      </c>
      <c r="E234" s="3">
        <v>230</v>
      </c>
      <c r="F234" s="3">
        <v>200</v>
      </c>
      <c r="G234" s="3">
        <v>0</v>
      </c>
      <c r="H234" s="31" t="s">
        <v>164</v>
      </c>
      <c r="I234" s="32">
        <v>7739</v>
      </c>
      <c r="J234" s="32">
        <v>8347</v>
      </c>
      <c r="K234" s="346">
        <v>8371</v>
      </c>
      <c r="L234" s="141">
        <v>5735</v>
      </c>
      <c r="M234" s="451">
        <f t="shared" si="39"/>
        <v>-2636</v>
      </c>
      <c r="N234" s="414">
        <v>5735</v>
      </c>
    </row>
    <row r="235" spans="1:17" outlineLevel="6" x14ac:dyDescent="0.4">
      <c r="A235" s="70">
        <v>10</v>
      </c>
      <c r="B235" s="3">
        <v>300</v>
      </c>
      <c r="C235" s="3">
        <v>0</v>
      </c>
      <c r="D235" s="3">
        <v>500</v>
      </c>
      <c r="E235" s="3">
        <v>250</v>
      </c>
      <c r="F235" s="3">
        <v>200</v>
      </c>
      <c r="G235" s="3">
        <v>0</v>
      </c>
      <c r="H235" s="31" t="s">
        <v>165</v>
      </c>
      <c r="I235" s="32">
        <v>5717</v>
      </c>
      <c r="J235" s="32">
        <v>5951</v>
      </c>
      <c r="K235" s="346">
        <v>5879</v>
      </c>
      <c r="L235" s="141">
        <v>4088</v>
      </c>
      <c r="M235" s="451">
        <f t="shared" si="39"/>
        <v>-1766</v>
      </c>
      <c r="N235" s="414">
        <v>4113</v>
      </c>
    </row>
    <row r="236" spans="1:17" outlineLevel="6" x14ac:dyDescent="0.4">
      <c r="A236" s="70">
        <v>10</v>
      </c>
      <c r="B236" s="3">
        <v>300</v>
      </c>
      <c r="C236" s="3">
        <v>0</v>
      </c>
      <c r="D236" s="3">
        <v>500</v>
      </c>
      <c r="E236" s="3" t="s">
        <v>2287</v>
      </c>
      <c r="F236" s="3">
        <v>200</v>
      </c>
      <c r="G236" s="3" t="s">
        <v>2285</v>
      </c>
      <c r="H236" s="31" t="s">
        <v>2411</v>
      </c>
      <c r="I236" s="32">
        <v>0</v>
      </c>
      <c r="J236" s="32">
        <v>1113</v>
      </c>
      <c r="K236" s="346">
        <v>0</v>
      </c>
      <c r="L236" s="141">
        <v>0</v>
      </c>
      <c r="M236" s="451">
        <f t="shared" ref="M236" si="40">N236-K236</f>
        <v>844</v>
      </c>
      <c r="N236" s="414">
        <v>844</v>
      </c>
      <c r="Q236" s="509"/>
    </row>
    <row r="237" spans="1:17" outlineLevel="6" x14ac:dyDescent="0.4">
      <c r="A237" s="70">
        <v>10</v>
      </c>
      <c r="B237" s="3">
        <v>300</v>
      </c>
      <c r="C237" s="3">
        <v>0</v>
      </c>
      <c r="D237" s="3">
        <v>500</v>
      </c>
      <c r="E237" s="3" t="s">
        <v>535</v>
      </c>
      <c r="F237" s="3" t="s">
        <v>448</v>
      </c>
      <c r="G237" s="3">
        <v>0</v>
      </c>
      <c r="H237" s="31" t="s">
        <v>523</v>
      </c>
      <c r="I237" s="32">
        <v>336</v>
      </c>
      <c r="J237" s="32">
        <v>403</v>
      </c>
      <c r="K237" s="346">
        <v>400</v>
      </c>
      <c r="L237" s="141">
        <v>400</v>
      </c>
      <c r="M237" s="451">
        <f t="shared" si="39"/>
        <v>0</v>
      </c>
      <c r="N237" s="414">
        <v>400</v>
      </c>
    </row>
    <row r="238" spans="1:17" ht="27" outlineLevel="6" thickBot="1" x14ac:dyDescent="0.45">
      <c r="A238" s="70">
        <v>10</v>
      </c>
      <c r="B238" s="3">
        <v>300</v>
      </c>
      <c r="C238" s="3">
        <v>0</v>
      </c>
      <c r="D238" s="3">
        <v>500</v>
      </c>
      <c r="E238" s="3" t="s">
        <v>1140</v>
      </c>
      <c r="F238" s="3">
        <v>0</v>
      </c>
      <c r="G238" s="3">
        <v>0</v>
      </c>
      <c r="H238" s="31" t="s">
        <v>1113</v>
      </c>
      <c r="I238" s="32">
        <v>492</v>
      </c>
      <c r="J238" s="32">
        <v>0</v>
      </c>
      <c r="K238" s="346">
        <v>0</v>
      </c>
      <c r="L238" s="141">
        <v>0</v>
      </c>
      <c r="M238" s="451">
        <f t="shared" si="39"/>
        <v>0</v>
      </c>
      <c r="N238" s="414">
        <v>0</v>
      </c>
      <c r="Q238" s="509"/>
    </row>
    <row r="239" spans="1:17" ht="27" outlineLevel="5" thickBot="1" x14ac:dyDescent="0.45">
      <c r="A239" s="71"/>
      <c r="B239" s="6"/>
      <c r="C239" s="6"/>
      <c r="D239" s="9" t="s">
        <v>166</v>
      </c>
      <c r="E239" s="6"/>
      <c r="F239" s="6"/>
      <c r="G239" s="6"/>
      <c r="H239" s="41"/>
      <c r="I239" s="42">
        <f>SUBTOTAL(9,I229:I238)</f>
        <v>56026</v>
      </c>
      <c r="J239" s="42">
        <f>SUBTOTAL(9,J229:J238)</f>
        <v>58378</v>
      </c>
      <c r="K239" s="43">
        <f>SUBTOTAL(9,K229:K238)</f>
        <v>57188</v>
      </c>
      <c r="L239" s="43">
        <f>SUBTOTAL(9,L229:L238)</f>
        <v>38848</v>
      </c>
      <c r="M239" s="453">
        <f>N239-K239</f>
        <v>-17471</v>
      </c>
      <c r="N239" s="237">
        <f>SUBTOTAL(9,N229:N238)</f>
        <v>39717</v>
      </c>
    </row>
    <row r="240" spans="1:17" outlineLevel="6" x14ac:dyDescent="0.4">
      <c r="A240" s="70">
        <v>10</v>
      </c>
      <c r="B240" s="3">
        <v>300</v>
      </c>
      <c r="C240" s="3">
        <v>0</v>
      </c>
      <c r="D240" s="3">
        <v>600</v>
      </c>
      <c r="E240" s="3">
        <v>110</v>
      </c>
      <c r="F240" s="3">
        <v>200</v>
      </c>
      <c r="G240" s="3">
        <v>0</v>
      </c>
      <c r="H240" s="31" t="s">
        <v>167</v>
      </c>
      <c r="I240" s="32">
        <v>21495</v>
      </c>
      <c r="J240" s="32">
        <v>35894</v>
      </c>
      <c r="K240" s="347">
        <f>35694+200</f>
        <v>35894</v>
      </c>
      <c r="L240" s="141">
        <v>18045</v>
      </c>
      <c r="M240" s="451">
        <f>N240-K240</f>
        <v>-17849</v>
      </c>
      <c r="N240" s="415">
        <v>18045</v>
      </c>
      <c r="O240" s="29" t="s">
        <v>1454</v>
      </c>
    </row>
    <row r="241" spans="1:17" outlineLevel="6" x14ac:dyDescent="0.4">
      <c r="A241" s="70">
        <v>10</v>
      </c>
      <c r="B241" s="3">
        <v>300</v>
      </c>
      <c r="C241" s="3">
        <v>0</v>
      </c>
      <c r="D241" s="3">
        <v>600</v>
      </c>
      <c r="E241" s="3">
        <v>120</v>
      </c>
      <c r="F241" s="3">
        <v>200</v>
      </c>
      <c r="G241" s="3">
        <v>0</v>
      </c>
      <c r="H241" s="31" t="s">
        <v>168</v>
      </c>
      <c r="I241" s="32">
        <v>600</v>
      </c>
      <c r="J241" s="32">
        <v>925</v>
      </c>
      <c r="K241" s="346">
        <v>900</v>
      </c>
      <c r="L241" s="141">
        <v>450</v>
      </c>
      <c r="M241" s="451">
        <f>N241-K241</f>
        <v>-450</v>
      </c>
      <c r="N241" s="415">
        <v>450</v>
      </c>
      <c r="Q241" s="509"/>
    </row>
    <row r="242" spans="1:17" outlineLevel="6" x14ac:dyDescent="0.4">
      <c r="A242" s="70">
        <v>10</v>
      </c>
      <c r="B242" s="3">
        <v>300</v>
      </c>
      <c r="C242" s="3">
        <v>0</v>
      </c>
      <c r="D242" s="3">
        <v>600</v>
      </c>
      <c r="E242" s="3">
        <v>210</v>
      </c>
      <c r="F242" s="3">
        <v>200</v>
      </c>
      <c r="G242" s="3">
        <v>0</v>
      </c>
      <c r="H242" s="31" t="s">
        <v>169</v>
      </c>
      <c r="I242" s="32">
        <v>33</v>
      </c>
      <c r="J242" s="32">
        <v>68</v>
      </c>
      <c r="K242" s="346">
        <v>66</v>
      </c>
      <c r="L242" s="141">
        <v>33</v>
      </c>
      <c r="M242" s="451">
        <f t="shared" ref="M242:M248" si="41">N242-K242</f>
        <v>-33</v>
      </c>
      <c r="N242" s="414">
        <v>33</v>
      </c>
    </row>
    <row r="243" spans="1:17" outlineLevel="6" x14ac:dyDescent="0.4">
      <c r="A243" s="70">
        <v>10</v>
      </c>
      <c r="B243" s="3">
        <v>300</v>
      </c>
      <c r="C243" s="3">
        <v>0</v>
      </c>
      <c r="D243" s="3">
        <v>600</v>
      </c>
      <c r="E243" s="3">
        <v>215</v>
      </c>
      <c r="F243" s="3">
        <v>200</v>
      </c>
      <c r="G243" s="3">
        <v>0</v>
      </c>
      <c r="H243" s="31" t="s">
        <v>67</v>
      </c>
      <c r="I243" s="32">
        <v>66</v>
      </c>
      <c r="J243" s="32">
        <v>110</v>
      </c>
      <c r="K243" s="346">
        <f>110+1</f>
        <v>111</v>
      </c>
      <c r="L243" s="141">
        <v>56</v>
      </c>
      <c r="M243" s="451">
        <f t="shared" si="41"/>
        <v>-55</v>
      </c>
      <c r="N243" s="414">
        <v>56</v>
      </c>
    </row>
    <row r="244" spans="1:17" outlineLevel="6" x14ac:dyDescent="0.4">
      <c r="A244" s="70">
        <v>10</v>
      </c>
      <c r="B244" s="3">
        <v>300</v>
      </c>
      <c r="C244" s="3">
        <v>0</v>
      </c>
      <c r="D244" s="3">
        <v>600</v>
      </c>
      <c r="E244" s="3">
        <v>221</v>
      </c>
      <c r="F244" s="3">
        <v>200</v>
      </c>
      <c r="G244" s="3">
        <v>0</v>
      </c>
      <c r="H244" s="31" t="s">
        <v>170</v>
      </c>
      <c r="I244" s="32">
        <v>319</v>
      </c>
      <c r="J244" s="32">
        <v>531</v>
      </c>
      <c r="K244" s="346">
        <f>531+3</f>
        <v>534</v>
      </c>
      <c r="L244" s="141">
        <v>269</v>
      </c>
      <c r="M244" s="451">
        <f t="shared" si="41"/>
        <v>-265</v>
      </c>
      <c r="N244" s="414">
        <v>269</v>
      </c>
    </row>
    <row r="245" spans="1:17" outlineLevel="6" x14ac:dyDescent="0.4">
      <c r="A245" s="70">
        <v>10</v>
      </c>
      <c r="B245" s="3">
        <v>300</v>
      </c>
      <c r="C245" s="3">
        <v>0</v>
      </c>
      <c r="D245" s="3">
        <v>600</v>
      </c>
      <c r="E245" s="3">
        <v>230</v>
      </c>
      <c r="F245" s="3">
        <v>200</v>
      </c>
      <c r="G245" s="3">
        <v>0</v>
      </c>
      <c r="H245" s="31" t="s">
        <v>171</v>
      </c>
      <c r="I245" s="32">
        <v>4355</v>
      </c>
      <c r="J245" s="32">
        <v>7344</v>
      </c>
      <c r="K245" s="346">
        <v>7374</v>
      </c>
      <c r="L245" s="141">
        <v>3773</v>
      </c>
      <c r="M245" s="451">
        <f t="shared" si="41"/>
        <v>-3601</v>
      </c>
      <c r="N245" s="414">
        <v>3773</v>
      </c>
    </row>
    <row r="246" spans="1:17" outlineLevel="6" x14ac:dyDescent="0.4">
      <c r="A246" s="70">
        <v>10</v>
      </c>
      <c r="B246" s="3">
        <v>300</v>
      </c>
      <c r="C246" s="3">
        <v>0</v>
      </c>
      <c r="D246" s="3">
        <v>600</v>
      </c>
      <c r="E246" s="3">
        <v>250</v>
      </c>
      <c r="F246" s="3">
        <v>200</v>
      </c>
      <c r="G246" s="3">
        <v>0</v>
      </c>
      <c r="H246" s="31" t="s">
        <v>172</v>
      </c>
      <c r="I246" s="32">
        <v>2858</v>
      </c>
      <c r="J246" s="32">
        <v>5924</v>
      </c>
      <c r="K246" s="346">
        <v>5879</v>
      </c>
      <c r="L246" s="141">
        <v>3066</v>
      </c>
      <c r="M246" s="451">
        <f t="shared" si="41"/>
        <v>-2794</v>
      </c>
      <c r="N246" s="414">
        <v>3085</v>
      </c>
    </row>
    <row r="247" spans="1:17" outlineLevel="6" x14ac:dyDescent="0.4">
      <c r="A247" s="70">
        <v>10</v>
      </c>
      <c r="B247" s="3">
        <v>300</v>
      </c>
      <c r="C247" s="3">
        <v>0</v>
      </c>
      <c r="D247" s="3">
        <v>600</v>
      </c>
      <c r="E247" s="3" t="s">
        <v>2287</v>
      </c>
      <c r="F247" s="3">
        <v>200</v>
      </c>
      <c r="G247" s="3" t="s">
        <v>2285</v>
      </c>
      <c r="H247" s="31" t="s">
        <v>2412</v>
      </c>
      <c r="I247" s="32">
        <v>0</v>
      </c>
      <c r="J247" s="32">
        <v>978</v>
      </c>
      <c r="K247" s="346">
        <v>0</v>
      </c>
      <c r="L247" s="141">
        <v>0</v>
      </c>
      <c r="M247" s="451">
        <f t="shared" ref="M247" si="42">N247-K247</f>
        <v>555</v>
      </c>
      <c r="N247" s="414">
        <v>555</v>
      </c>
      <c r="Q247" s="509"/>
    </row>
    <row r="248" spans="1:17" ht="27" outlineLevel="6" thickBot="1" x14ac:dyDescent="0.45">
      <c r="A248" s="70">
        <v>10</v>
      </c>
      <c r="B248" s="3">
        <v>300</v>
      </c>
      <c r="C248" s="3">
        <v>0</v>
      </c>
      <c r="D248" s="3">
        <v>600</v>
      </c>
      <c r="E248" s="3">
        <v>600</v>
      </c>
      <c r="F248" s="3">
        <v>0</v>
      </c>
      <c r="G248" s="3">
        <v>0</v>
      </c>
      <c r="H248" s="31" t="s">
        <v>173</v>
      </c>
      <c r="I248" s="32">
        <v>310</v>
      </c>
      <c r="J248" s="32">
        <v>300</v>
      </c>
      <c r="K248" s="346">
        <v>300</v>
      </c>
      <c r="L248" s="141">
        <v>300</v>
      </c>
      <c r="M248" s="451">
        <f t="shared" si="41"/>
        <v>0</v>
      </c>
      <c r="N248" s="414">
        <v>300</v>
      </c>
      <c r="Q248" s="509"/>
    </row>
    <row r="249" spans="1:17" ht="27" outlineLevel="5" thickBot="1" x14ac:dyDescent="0.45">
      <c r="A249" s="71"/>
      <c r="B249" s="6"/>
      <c r="C249" s="6"/>
      <c r="D249" s="9" t="s">
        <v>174</v>
      </c>
      <c r="E249" s="6"/>
      <c r="F249" s="6"/>
      <c r="G249" s="6"/>
      <c r="H249" s="41"/>
      <c r="I249" s="42">
        <f>SUBTOTAL(9,I240:I248)</f>
        <v>30036</v>
      </c>
      <c r="J249" s="42">
        <f>SUBTOTAL(9,J240:J248)</f>
        <v>52074</v>
      </c>
      <c r="K249" s="43">
        <f>SUBTOTAL(9,K240:K248)</f>
        <v>51058</v>
      </c>
      <c r="L249" s="43">
        <f>SUBTOTAL(9,L240:L248)</f>
        <v>25992</v>
      </c>
      <c r="M249" s="453">
        <f>N249-K249</f>
        <v>-24492</v>
      </c>
      <c r="N249" s="237">
        <f>SUBTOTAL(9,N240:N248)</f>
        <v>26566</v>
      </c>
    </row>
    <row r="250" spans="1:17" outlineLevel="6" x14ac:dyDescent="0.4">
      <c r="A250" s="70">
        <v>10</v>
      </c>
      <c r="B250" s="3">
        <v>300</v>
      </c>
      <c r="C250" s="3">
        <v>0</v>
      </c>
      <c r="D250" s="3" t="s">
        <v>506</v>
      </c>
      <c r="E250" s="3">
        <v>110</v>
      </c>
      <c r="F250" s="3">
        <v>200</v>
      </c>
      <c r="G250" s="3" t="s">
        <v>439</v>
      </c>
      <c r="H250" s="31" t="s">
        <v>507</v>
      </c>
      <c r="I250" s="32">
        <v>13240</v>
      </c>
      <c r="J250" s="32">
        <v>8803</v>
      </c>
      <c r="K250" s="39">
        <f>8636+50</f>
        <v>8686</v>
      </c>
      <c r="L250" s="40">
        <v>0</v>
      </c>
      <c r="M250" s="451">
        <f>N250-K250</f>
        <v>-8686</v>
      </c>
      <c r="N250" s="418">
        <v>0</v>
      </c>
    </row>
    <row r="251" spans="1:17" outlineLevel="6" x14ac:dyDescent="0.4">
      <c r="A251" s="70">
        <v>10</v>
      </c>
      <c r="B251" s="3">
        <v>300</v>
      </c>
      <c r="C251" s="3">
        <v>0</v>
      </c>
      <c r="D251" s="3" t="s">
        <v>506</v>
      </c>
      <c r="E251" s="3">
        <v>120</v>
      </c>
      <c r="F251" s="3">
        <v>200</v>
      </c>
      <c r="G251" s="3" t="s">
        <v>439</v>
      </c>
      <c r="H251" s="31" t="s">
        <v>508</v>
      </c>
      <c r="I251" s="32">
        <v>0</v>
      </c>
      <c r="J251" s="32">
        <v>150</v>
      </c>
      <c r="K251" s="40">
        <v>225</v>
      </c>
      <c r="L251" s="40">
        <v>0</v>
      </c>
      <c r="M251" s="451">
        <f t="shared" ref="M251:M258" si="43">N251-K251</f>
        <v>-225</v>
      </c>
      <c r="N251" s="418">
        <v>0</v>
      </c>
    </row>
    <row r="252" spans="1:17" outlineLevel="6" x14ac:dyDescent="0.4">
      <c r="A252" s="70">
        <v>10</v>
      </c>
      <c r="B252" s="3">
        <v>300</v>
      </c>
      <c r="C252" s="3">
        <v>0</v>
      </c>
      <c r="D252" s="3" t="s">
        <v>506</v>
      </c>
      <c r="E252" s="3">
        <v>210</v>
      </c>
      <c r="F252" s="3">
        <v>200</v>
      </c>
      <c r="G252" s="3" t="s">
        <v>439</v>
      </c>
      <c r="H252" s="31" t="s">
        <v>510</v>
      </c>
      <c r="I252" s="32">
        <v>17</v>
      </c>
      <c r="J252" s="32">
        <v>14</v>
      </c>
      <c r="K252" s="40">
        <v>17</v>
      </c>
      <c r="L252" s="40">
        <v>0</v>
      </c>
      <c r="M252" s="451">
        <f t="shared" si="43"/>
        <v>-17</v>
      </c>
      <c r="N252" s="417">
        <v>0</v>
      </c>
    </row>
    <row r="253" spans="1:17" outlineLevel="6" x14ac:dyDescent="0.4">
      <c r="A253" s="70">
        <v>10</v>
      </c>
      <c r="B253" s="3">
        <v>300</v>
      </c>
      <c r="C253" s="3">
        <v>0</v>
      </c>
      <c r="D253" s="3" t="s">
        <v>506</v>
      </c>
      <c r="E253" s="3">
        <v>215</v>
      </c>
      <c r="F253" s="3">
        <v>200</v>
      </c>
      <c r="G253" s="3" t="s">
        <v>439</v>
      </c>
      <c r="H253" s="31" t="s">
        <v>67</v>
      </c>
      <c r="I253" s="32">
        <v>39</v>
      </c>
      <c r="J253" s="32">
        <v>27</v>
      </c>
      <c r="K253" s="40">
        <v>27</v>
      </c>
      <c r="L253" s="40">
        <v>0</v>
      </c>
      <c r="M253" s="451">
        <f t="shared" si="43"/>
        <v>-27</v>
      </c>
      <c r="N253" s="417">
        <v>0</v>
      </c>
    </row>
    <row r="254" spans="1:17" outlineLevel="6" x14ac:dyDescent="0.4">
      <c r="A254" s="70">
        <v>10</v>
      </c>
      <c r="B254" s="3">
        <v>300</v>
      </c>
      <c r="C254" s="3">
        <v>0</v>
      </c>
      <c r="D254" s="3" t="s">
        <v>506</v>
      </c>
      <c r="E254" s="3">
        <v>221</v>
      </c>
      <c r="F254" s="3">
        <v>200</v>
      </c>
      <c r="G254" s="3" t="s">
        <v>439</v>
      </c>
      <c r="H254" s="31" t="s">
        <v>509</v>
      </c>
      <c r="I254" s="32">
        <v>192</v>
      </c>
      <c r="J254" s="32">
        <v>129</v>
      </c>
      <c r="K254" s="40">
        <f>129+1</f>
        <v>130</v>
      </c>
      <c r="L254" s="40">
        <v>0</v>
      </c>
      <c r="M254" s="451">
        <f t="shared" si="43"/>
        <v>-130</v>
      </c>
      <c r="N254" s="417">
        <v>0</v>
      </c>
    </row>
    <row r="255" spans="1:17" outlineLevel="6" x14ac:dyDescent="0.4">
      <c r="A255" s="70">
        <v>10</v>
      </c>
      <c r="B255" s="3">
        <v>300</v>
      </c>
      <c r="C255" s="3">
        <v>0</v>
      </c>
      <c r="D255" s="3" t="s">
        <v>506</v>
      </c>
      <c r="E255" s="3">
        <v>230</v>
      </c>
      <c r="F255" s="3">
        <v>200</v>
      </c>
      <c r="G255" s="3" t="s">
        <v>439</v>
      </c>
      <c r="H255" s="31" t="s">
        <v>511</v>
      </c>
      <c r="I255" s="32">
        <v>2508</v>
      </c>
      <c r="J255" s="32">
        <v>1773</v>
      </c>
      <c r="K255" s="40">
        <v>1786</v>
      </c>
      <c r="L255" s="40">
        <v>0</v>
      </c>
      <c r="M255" s="451">
        <f t="shared" si="43"/>
        <v>-1786</v>
      </c>
      <c r="N255" s="417">
        <v>0</v>
      </c>
    </row>
    <row r="256" spans="1:17" outlineLevel="6" x14ac:dyDescent="0.4">
      <c r="A256" s="70">
        <v>10</v>
      </c>
      <c r="B256" s="3">
        <v>300</v>
      </c>
      <c r="C256" s="3">
        <v>0</v>
      </c>
      <c r="D256" s="3" t="s">
        <v>506</v>
      </c>
      <c r="E256" s="3">
        <v>250</v>
      </c>
      <c r="F256" s="3">
        <v>200</v>
      </c>
      <c r="G256" s="3" t="s">
        <v>439</v>
      </c>
      <c r="H256" s="31" t="s">
        <v>512</v>
      </c>
      <c r="I256" s="32">
        <v>1445</v>
      </c>
      <c r="J256" s="32">
        <v>1477</v>
      </c>
      <c r="K256" s="40">
        <v>1470</v>
      </c>
      <c r="L256" s="40">
        <v>0</v>
      </c>
      <c r="M256" s="451">
        <f t="shared" si="43"/>
        <v>-1470</v>
      </c>
      <c r="N256" s="417">
        <v>0</v>
      </c>
    </row>
    <row r="257" spans="1:17" outlineLevel="6" x14ac:dyDescent="0.4">
      <c r="A257" s="70">
        <v>10</v>
      </c>
      <c r="B257" s="3">
        <v>300</v>
      </c>
      <c r="C257" s="3">
        <v>0</v>
      </c>
      <c r="D257" s="3" t="s">
        <v>506</v>
      </c>
      <c r="E257" s="3" t="s">
        <v>2287</v>
      </c>
      <c r="F257" s="3">
        <v>200</v>
      </c>
      <c r="G257" s="3" t="s">
        <v>2285</v>
      </c>
      <c r="H257" s="31" t="s">
        <v>2413</v>
      </c>
      <c r="I257" s="32">
        <v>0</v>
      </c>
      <c r="J257" s="32">
        <v>258</v>
      </c>
      <c r="K257" s="40">
        <v>0</v>
      </c>
      <c r="L257" s="40">
        <v>0</v>
      </c>
      <c r="M257" s="451">
        <f t="shared" ref="M257" si="44">N257-K257</f>
        <v>0</v>
      </c>
      <c r="N257" s="417">
        <v>0</v>
      </c>
    </row>
    <row r="258" spans="1:17" ht="27" outlineLevel="6" thickBot="1" x14ac:dyDescent="0.45">
      <c r="A258" s="70">
        <v>10</v>
      </c>
      <c r="B258" s="3">
        <v>300</v>
      </c>
      <c r="C258" s="3">
        <v>0</v>
      </c>
      <c r="D258" s="3" t="s">
        <v>506</v>
      </c>
      <c r="E258" s="3">
        <v>600</v>
      </c>
      <c r="F258" s="3">
        <v>0</v>
      </c>
      <c r="G258" s="3" t="s">
        <v>439</v>
      </c>
      <c r="H258" s="31" t="s">
        <v>513</v>
      </c>
      <c r="I258" s="32">
        <v>281</v>
      </c>
      <c r="J258" s="32">
        <v>106</v>
      </c>
      <c r="K258" s="147">
        <v>300</v>
      </c>
      <c r="L258" s="40">
        <v>0</v>
      </c>
      <c r="M258" s="451">
        <f t="shared" si="43"/>
        <v>0</v>
      </c>
      <c r="N258" s="418">
        <v>300</v>
      </c>
      <c r="Q258" s="509"/>
    </row>
    <row r="259" spans="1:17" ht="27" outlineLevel="5" thickBot="1" x14ac:dyDescent="0.45">
      <c r="A259" s="71"/>
      <c r="B259" s="6"/>
      <c r="C259" s="6"/>
      <c r="D259" s="9" t="s">
        <v>514</v>
      </c>
      <c r="E259" s="6"/>
      <c r="F259" s="6"/>
      <c r="G259" s="6"/>
      <c r="H259" s="41"/>
      <c r="I259" s="42">
        <f>SUBTOTAL(9,I250:I258)</f>
        <v>17722</v>
      </c>
      <c r="J259" s="42">
        <f>SUBTOTAL(9,J250:J258)</f>
        <v>12737</v>
      </c>
      <c r="K259" s="43">
        <f>SUBTOTAL(9,K250:K258)</f>
        <v>12641</v>
      </c>
      <c r="L259" s="43">
        <f>SUBTOTAL(9,L250:L258)</f>
        <v>0</v>
      </c>
      <c r="M259" s="453">
        <f>N259-K259</f>
        <v>-12341</v>
      </c>
      <c r="N259" s="237">
        <f>SUBTOTAL(9,N250:N258)</f>
        <v>300</v>
      </c>
    </row>
    <row r="260" spans="1:17" outlineLevel="6" x14ac:dyDescent="0.4">
      <c r="A260" s="70">
        <v>10</v>
      </c>
      <c r="B260" s="3">
        <v>300</v>
      </c>
      <c r="C260" s="3">
        <v>0</v>
      </c>
      <c r="D260" s="3">
        <v>1000</v>
      </c>
      <c r="E260" s="3">
        <v>110</v>
      </c>
      <c r="F260" s="3">
        <v>200</v>
      </c>
      <c r="G260" s="3" t="s">
        <v>439</v>
      </c>
      <c r="H260" s="31" t="s">
        <v>175</v>
      </c>
      <c r="I260" s="32">
        <v>0</v>
      </c>
      <c r="J260" s="32">
        <v>0</v>
      </c>
      <c r="K260" s="39">
        <v>0</v>
      </c>
      <c r="L260" s="40">
        <v>0</v>
      </c>
      <c r="M260" s="451">
        <f>N260-K260</f>
        <v>12275</v>
      </c>
      <c r="N260" s="418">
        <v>12275</v>
      </c>
      <c r="O260" s="29" t="s">
        <v>1453</v>
      </c>
    </row>
    <row r="261" spans="1:17" outlineLevel="6" x14ac:dyDescent="0.4">
      <c r="A261" s="70">
        <v>10</v>
      </c>
      <c r="B261" s="3">
        <v>300</v>
      </c>
      <c r="C261" s="3">
        <v>0</v>
      </c>
      <c r="D261" s="3">
        <v>1000</v>
      </c>
      <c r="E261" s="3">
        <v>110</v>
      </c>
      <c r="F261" s="3">
        <v>200</v>
      </c>
      <c r="G261" s="3">
        <v>3120</v>
      </c>
      <c r="H261" s="31" t="s">
        <v>175</v>
      </c>
      <c r="I261" s="32">
        <v>27503</v>
      </c>
      <c r="J261" s="32">
        <v>46316</v>
      </c>
      <c r="K261" s="39">
        <f>45240+200</f>
        <v>45440</v>
      </c>
      <c r="L261" s="40">
        <v>12275</v>
      </c>
      <c r="M261" s="451">
        <f>N261-K261</f>
        <v>-45440</v>
      </c>
      <c r="N261" s="418">
        <v>0</v>
      </c>
    </row>
    <row r="262" spans="1:17" outlineLevel="6" x14ac:dyDescent="0.4">
      <c r="A262" s="70">
        <v>10</v>
      </c>
      <c r="B262" s="3">
        <v>300</v>
      </c>
      <c r="C262" s="3">
        <v>0</v>
      </c>
      <c r="D262" s="3">
        <v>1000</v>
      </c>
      <c r="E262" s="3">
        <v>120</v>
      </c>
      <c r="F262" s="3">
        <v>200</v>
      </c>
      <c r="G262" s="3" t="s">
        <v>439</v>
      </c>
      <c r="H262" s="31" t="s">
        <v>176</v>
      </c>
      <c r="I262" s="32">
        <v>0</v>
      </c>
      <c r="J262" s="32">
        <v>0</v>
      </c>
      <c r="K262" s="40">
        <v>0</v>
      </c>
      <c r="L262" s="40">
        <v>0</v>
      </c>
      <c r="M262" s="451">
        <f>N262-K262</f>
        <v>300</v>
      </c>
      <c r="N262" s="418">
        <v>300</v>
      </c>
    </row>
    <row r="263" spans="1:17" outlineLevel="6" x14ac:dyDescent="0.4">
      <c r="A263" s="70">
        <v>10</v>
      </c>
      <c r="B263" s="3">
        <v>300</v>
      </c>
      <c r="C263" s="3">
        <v>0</v>
      </c>
      <c r="D263" s="3">
        <v>1000</v>
      </c>
      <c r="E263" s="3">
        <v>120</v>
      </c>
      <c r="F263" s="3">
        <v>200</v>
      </c>
      <c r="G263" s="3">
        <v>3120</v>
      </c>
      <c r="H263" s="31" t="s">
        <v>176</v>
      </c>
      <c r="I263" s="32">
        <v>550</v>
      </c>
      <c r="J263" s="32">
        <v>496</v>
      </c>
      <c r="K263" s="40">
        <v>900</v>
      </c>
      <c r="L263" s="40">
        <v>300</v>
      </c>
      <c r="M263" s="451">
        <f>N263-K263</f>
        <v>-900</v>
      </c>
      <c r="N263" s="418">
        <v>0</v>
      </c>
      <c r="Q263" s="509"/>
    </row>
    <row r="264" spans="1:17" outlineLevel="6" x14ac:dyDescent="0.4">
      <c r="A264" s="70">
        <v>10</v>
      </c>
      <c r="B264" s="3">
        <v>300</v>
      </c>
      <c r="C264" s="3">
        <v>0</v>
      </c>
      <c r="D264" s="3">
        <v>1000</v>
      </c>
      <c r="E264" s="3">
        <v>210</v>
      </c>
      <c r="F264" s="3">
        <v>200</v>
      </c>
      <c r="G264" s="3" t="s">
        <v>439</v>
      </c>
      <c r="H264" s="31" t="s">
        <v>177</v>
      </c>
      <c r="I264" s="32">
        <v>0</v>
      </c>
      <c r="J264" s="32">
        <v>0</v>
      </c>
      <c r="K264" s="40">
        <v>0</v>
      </c>
      <c r="L264" s="40">
        <v>0</v>
      </c>
      <c r="M264" s="451">
        <f t="shared" ref="M264" si="45">N264-K264</f>
        <v>22</v>
      </c>
      <c r="N264" s="417">
        <v>22</v>
      </c>
    </row>
    <row r="265" spans="1:17" outlineLevel="6" x14ac:dyDescent="0.4">
      <c r="A265" s="70">
        <v>10</v>
      </c>
      <c r="B265" s="3">
        <v>300</v>
      </c>
      <c r="C265" s="3">
        <v>0</v>
      </c>
      <c r="D265" s="3">
        <v>1000</v>
      </c>
      <c r="E265" s="3">
        <v>210</v>
      </c>
      <c r="F265" s="3">
        <v>200</v>
      </c>
      <c r="G265" s="3">
        <v>3120</v>
      </c>
      <c r="H265" s="31" t="s">
        <v>177</v>
      </c>
      <c r="I265" s="32">
        <v>55</v>
      </c>
      <c r="J265" s="32">
        <v>55</v>
      </c>
      <c r="K265" s="40">
        <v>66</v>
      </c>
      <c r="L265" s="40">
        <v>22</v>
      </c>
      <c r="M265" s="451">
        <f t="shared" ref="M265:M284" si="46">N265-K265</f>
        <v>-66</v>
      </c>
      <c r="N265" s="417">
        <v>0</v>
      </c>
    </row>
    <row r="266" spans="1:17" outlineLevel="6" x14ac:dyDescent="0.4">
      <c r="A266" s="70">
        <v>10</v>
      </c>
      <c r="B266" s="3">
        <v>300</v>
      </c>
      <c r="C266" s="3">
        <v>0</v>
      </c>
      <c r="D266" s="3">
        <v>1000</v>
      </c>
      <c r="E266" s="3">
        <v>215</v>
      </c>
      <c r="F266" s="3">
        <v>200</v>
      </c>
      <c r="G266" s="3" t="s">
        <v>439</v>
      </c>
      <c r="H266" s="31" t="s">
        <v>67</v>
      </c>
      <c r="I266" s="32">
        <v>0</v>
      </c>
      <c r="J266" s="32">
        <v>0</v>
      </c>
      <c r="K266" s="40">
        <v>0</v>
      </c>
      <c r="L266" s="40">
        <v>0</v>
      </c>
      <c r="M266" s="451">
        <f t="shared" ref="M266" si="47">N266-K266</f>
        <v>38</v>
      </c>
      <c r="N266" s="417">
        <v>38</v>
      </c>
    </row>
    <row r="267" spans="1:17" outlineLevel="6" x14ac:dyDescent="0.4">
      <c r="A267" s="70">
        <v>10</v>
      </c>
      <c r="B267" s="3">
        <v>300</v>
      </c>
      <c r="C267" s="3">
        <v>0</v>
      </c>
      <c r="D267" s="3">
        <v>1000</v>
      </c>
      <c r="E267" s="3">
        <v>215</v>
      </c>
      <c r="F267" s="3">
        <v>200</v>
      </c>
      <c r="G267" s="3">
        <v>3120</v>
      </c>
      <c r="H267" s="31" t="s">
        <v>67</v>
      </c>
      <c r="I267" s="32">
        <v>72</v>
      </c>
      <c r="J267" s="32">
        <v>126</v>
      </c>
      <c r="K267" s="40">
        <f>139+1</f>
        <v>140</v>
      </c>
      <c r="L267" s="40">
        <v>38</v>
      </c>
      <c r="M267" s="451">
        <f t="shared" si="46"/>
        <v>-140</v>
      </c>
      <c r="N267" s="417">
        <v>0</v>
      </c>
    </row>
    <row r="268" spans="1:17" outlineLevel="6" x14ac:dyDescent="0.4">
      <c r="A268" s="70">
        <v>10</v>
      </c>
      <c r="B268" s="3">
        <v>300</v>
      </c>
      <c r="C268" s="3">
        <v>0</v>
      </c>
      <c r="D268" s="3">
        <v>1000</v>
      </c>
      <c r="E268" s="3">
        <v>221</v>
      </c>
      <c r="F268" s="3">
        <v>200</v>
      </c>
      <c r="G268" s="3" t="s">
        <v>439</v>
      </c>
      <c r="H268" s="31" t="s">
        <v>178</v>
      </c>
      <c r="I268" s="32">
        <v>0</v>
      </c>
      <c r="J268" s="32">
        <v>0</v>
      </c>
      <c r="K268" s="40">
        <v>0</v>
      </c>
      <c r="L268" s="40">
        <v>0</v>
      </c>
      <c r="M268" s="451">
        <f t="shared" ref="M268" si="48">N268-K268</f>
        <v>184</v>
      </c>
      <c r="N268" s="417">
        <v>184</v>
      </c>
    </row>
    <row r="269" spans="1:17" outlineLevel="6" x14ac:dyDescent="0.4">
      <c r="A269" s="70">
        <v>10</v>
      </c>
      <c r="B269" s="3">
        <v>300</v>
      </c>
      <c r="C269" s="3">
        <v>0</v>
      </c>
      <c r="D269" s="3">
        <v>1000</v>
      </c>
      <c r="E269" s="3">
        <v>221</v>
      </c>
      <c r="F269" s="3">
        <v>200</v>
      </c>
      <c r="G269" s="3">
        <v>3120</v>
      </c>
      <c r="H269" s="31" t="s">
        <v>178</v>
      </c>
      <c r="I269" s="32">
        <v>347</v>
      </c>
      <c r="J269" s="32">
        <v>611</v>
      </c>
      <c r="K269" s="40">
        <f>669+3</f>
        <v>672</v>
      </c>
      <c r="L269" s="40">
        <v>184</v>
      </c>
      <c r="M269" s="451">
        <f t="shared" si="46"/>
        <v>-672</v>
      </c>
      <c r="N269" s="417">
        <v>0</v>
      </c>
    </row>
    <row r="270" spans="1:17" outlineLevel="6" x14ac:dyDescent="0.4">
      <c r="A270" s="70">
        <v>10</v>
      </c>
      <c r="B270" s="3">
        <v>300</v>
      </c>
      <c r="C270" s="3">
        <v>0</v>
      </c>
      <c r="D270" s="3">
        <v>1000</v>
      </c>
      <c r="E270" s="3">
        <v>230</v>
      </c>
      <c r="F270" s="3">
        <v>200</v>
      </c>
      <c r="G270" s="3" t="s">
        <v>439</v>
      </c>
      <c r="H270" s="31" t="s">
        <v>179</v>
      </c>
      <c r="I270" s="32">
        <v>0</v>
      </c>
      <c r="J270" s="32">
        <v>0</v>
      </c>
      <c r="K270" s="40">
        <v>0</v>
      </c>
      <c r="L270" s="40">
        <v>0</v>
      </c>
      <c r="M270" s="451">
        <f t="shared" ref="M270" si="49">N270-K270</f>
        <v>2566</v>
      </c>
      <c r="N270" s="417">
        <v>2566</v>
      </c>
    </row>
    <row r="271" spans="1:17" outlineLevel="6" x14ac:dyDescent="0.4">
      <c r="A271" s="70">
        <v>10</v>
      </c>
      <c r="B271" s="3">
        <v>300</v>
      </c>
      <c r="C271" s="3">
        <v>0</v>
      </c>
      <c r="D271" s="3">
        <v>1000</v>
      </c>
      <c r="E271" s="3">
        <v>230</v>
      </c>
      <c r="F271" s="3">
        <v>200</v>
      </c>
      <c r="G271" s="3">
        <v>3120</v>
      </c>
      <c r="H271" s="31" t="s">
        <v>179</v>
      </c>
      <c r="I271" s="32">
        <v>4979</v>
      </c>
      <c r="J271" s="32">
        <v>8239</v>
      </c>
      <c r="K271" s="40">
        <v>9298</v>
      </c>
      <c r="L271" s="40">
        <v>2566</v>
      </c>
      <c r="M271" s="451">
        <f t="shared" si="46"/>
        <v>-9298</v>
      </c>
      <c r="N271" s="417">
        <v>0</v>
      </c>
    </row>
    <row r="272" spans="1:17" outlineLevel="6" x14ac:dyDescent="0.4">
      <c r="A272" s="70">
        <v>10</v>
      </c>
      <c r="B272" s="3">
        <v>300</v>
      </c>
      <c r="C272" s="3">
        <v>0</v>
      </c>
      <c r="D272" s="3">
        <v>1000</v>
      </c>
      <c r="E272" s="3">
        <v>250</v>
      </c>
      <c r="F272" s="3">
        <v>200</v>
      </c>
      <c r="G272" s="3" t="s">
        <v>439</v>
      </c>
      <c r="H272" s="31" t="s">
        <v>180</v>
      </c>
      <c r="I272" s="32">
        <v>0</v>
      </c>
      <c r="J272" s="32">
        <v>0</v>
      </c>
      <c r="K272" s="40">
        <v>0</v>
      </c>
      <c r="L272" s="40">
        <v>0</v>
      </c>
      <c r="M272" s="451">
        <f t="shared" ref="M272" si="50">N272-K272</f>
        <v>2057</v>
      </c>
      <c r="N272" s="417">
        <v>2057</v>
      </c>
    </row>
    <row r="273" spans="1:17" outlineLevel="6" x14ac:dyDescent="0.4">
      <c r="A273" s="70">
        <v>10</v>
      </c>
      <c r="B273" s="3">
        <v>300</v>
      </c>
      <c r="C273" s="3">
        <v>0</v>
      </c>
      <c r="D273" s="3">
        <v>1000</v>
      </c>
      <c r="E273" s="3">
        <v>250</v>
      </c>
      <c r="F273" s="3">
        <v>200</v>
      </c>
      <c r="G273" s="3">
        <v>3120</v>
      </c>
      <c r="H273" s="31" t="s">
        <v>180</v>
      </c>
      <c r="I273" s="32">
        <v>4782</v>
      </c>
      <c r="J273" s="32">
        <v>3919</v>
      </c>
      <c r="K273" s="40">
        <v>5879</v>
      </c>
      <c r="L273" s="40">
        <v>2044</v>
      </c>
      <c r="M273" s="451">
        <f t="shared" si="46"/>
        <v>-5879</v>
      </c>
      <c r="N273" s="417">
        <v>0</v>
      </c>
    </row>
    <row r="274" spans="1:17" outlineLevel="6" x14ac:dyDescent="0.4">
      <c r="A274" s="70">
        <v>10</v>
      </c>
      <c r="B274" s="3">
        <v>300</v>
      </c>
      <c r="C274" s="3">
        <v>0</v>
      </c>
      <c r="D274" s="3">
        <v>1000</v>
      </c>
      <c r="E274" s="3" t="s">
        <v>2287</v>
      </c>
      <c r="F274" s="3">
        <v>200</v>
      </c>
      <c r="G274" s="3" t="s">
        <v>2285</v>
      </c>
      <c r="H274" s="31" t="s">
        <v>2414</v>
      </c>
      <c r="I274" s="32">
        <v>0</v>
      </c>
      <c r="J274" s="32">
        <v>1214</v>
      </c>
      <c r="K274" s="40">
        <v>0</v>
      </c>
      <c r="L274" s="40">
        <v>0</v>
      </c>
      <c r="M274" s="451">
        <f>N274-K274</f>
        <v>378</v>
      </c>
      <c r="N274" s="417">
        <v>378</v>
      </c>
      <c r="Q274" s="509"/>
    </row>
    <row r="275" spans="1:17" outlineLevel="6" x14ac:dyDescent="0.4">
      <c r="A275" s="70">
        <v>10</v>
      </c>
      <c r="B275" s="3">
        <v>300</v>
      </c>
      <c r="C275" s="3">
        <v>0</v>
      </c>
      <c r="D275" s="3">
        <v>1000</v>
      </c>
      <c r="E275" s="3">
        <v>320</v>
      </c>
      <c r="F275" s="3">
        <v>0</v>
      </c>
      <c r="G275" s="3" t="s">
        <v>439</v>
      </c>
      <c r="H275" s="31" t="s">
        <v>181</v>
      </c>
      <c r="I275" s="32">
        <v>0</v>
      </c>
      <c r="J275" s="32">
        <v>0</v>
      </c>
      <c r="K275" s="40">
        <v>0</v>
      </c>
      <c r="L275" s="40">
        <v>0</v>
      </c>
      <c r="M275" s="451">
        <f t="shared" ref="M275" si="51">N275-K275</f>
        <v>900</v>
      </c>
      <c r="N275" s="417">
        <v>900</v>
      </c>
    </row>
    <row r="276" spans="1:17" outlineLevel="6" x14ac:dyDescent="0.4">
      <c r="A276" s="70">
        <v>10</v>
      </c>
      <c r="B276" s="3">
        <v>300</v>
      </c>
      <c r="C276" s="3">
        <v>0</v>
      </c>
      <c r="D276" s="3">
        <v>1000</v>
      </c>
      <c r="E276" s="3">
        <v>320</v>
      </c>
      <c r="F276" s="3">
        <v>0</v>
      </c>
      <c r="G276" s="3">
        <v>3120</v>
      </c>
      <c r="H276" s="31" t="s">
        <v>181</v>
      </c>
      <c r="I276" s="32">
        <v>877</v>
      </c>
      <c r="J276" s="32">
        <v>1131</v>
      </c>
      <c r="K276" s="40">
        <v>900</v>
      </c>
      <c r="L276" s="40">
        <v>900</v>
      </c>
      <c r="M276" s="451">
        <f t="shared" si="46"/>
        <v>-900</v>
      </c>
      <c r="N276" s="417">
        <v>0</v>
      </c>
      <c r="Q276" s="509"/>
    </row>
    <row r="277" spans="1:17" outlineLevel="6" x14ac:dyDescent="0.4">
      <c r="A277" s="70">
        <v>10</v>
      </c>
      <c r="B277" s="3">
        <v>300</v>
      </c>
      <c r="C277" s="3">
        <v>0</v>
      </c>
      <c r="D277" s="3">
        <v>1000</v>
      </c>
      <c r="E277" s="3">
        <v>400</v>
      </c>
      <c r="F277" s="3">
        <v>0</v>
      </c>
      <c r="G277" s="3" t="s">
        <v>439</v>
      </c>
      <c r="H277" s="31" t="s">
        <v>182</v>
      </c>
      <c r="I277" s="32">
        <v>0</v>
      </c>
      <c r="J277" s="32">
        <v>0</v>
      </c>
      <c r="K277" s="40">
        <v>0</v>
      </c>
      <c r="L277" s="40">
        <v>0</v>
      </c>
      <c r="M277" s="451">
        <f t="shared" ref="M277" si="52">N277-K277</f>
        <v>1000</v>
      </c>
      <c r="N277" s="417">
        <v>1000</v>
      </c>
    </row>
    <row r="278" spans="1:17" outlineLevel="6" x14ac:dyDescent="0.4">
      <c r="A278" s="70">
        <v>10</v>
      </c>
      <c r="B278" s="3">
        <v>300</v>
      </c>
      <c r="C278" s="3">
        <v>0</v>
      </c>
      <c r="D278" s="3">
        <v>1000</v>
      </c>
      <c r="E278" s="3">
        <v>400</v>
      </c>
      <c r="F278" s="3">
        <v>0</v>
      </c>
      <c r="G278" s="3">
        <v>3120</v>
      </c>
      <c r="H278" s="31" t="s">
        <v>182</v>
      </c>
      <c r="I278" s="32">
        <v>0</v>
      </c>
      <c r="J278" s="32">
        <v>0</v>
      </c>
      <c r="K278" s="40">
        <v>500</v>
      </c>
      <c r="L278" s="40">
        <v>1000</v>
      </c>
      <c r="M278" s="451">
        <f t="shared" si="46"/>
        <v>-500</v>
      </c>
      <c r="N278" s="417">
        <v>0</v>
      </c>
      <c r="Q278" s="509"/>
    </row>
    <row r="279" spans="1:17" outlineLevel="6" x14ac:dyDescent="0.4">
      <c r="A279" s="70">
        <v>10</v>
      </c>
      <c r="B279" s="3">
        <v>300</v>
      </c>
      <c r="C279" s="3">
        <v>0</v>
      </c>
      <c r="D279" s="3">
        <v>1000</v>
      </c>
      <c r="E279" s="3">
        <v>600</v>
      </c>
      <c r="F279" s="3">
        <v>0</v>
      </c>
      <c r="G279" s="3" t="s">
        <v>439</v>
      </c>
      <c r="H279" s="31" t="s">
        <v>183</v>
      </c>
      <c r="I279" s="32">
        <v>0</v>
      </c>
      <c r="J279" s="32">
        <v>0</v>
      </c>
      <c r="K279" s="40">
        <v>0</v>
      </c>
      <c r="L279" s="40">
        <v>0</v>
      </c>
      <c r="M279" s="451">
        <f t="shared" ref="M279" si="53">N279-K279</f>
        <v>2000</v>
      </c>
      <c r="N279" s="417">
        <v>2000</v>
      </c>
    </row>
    <row r="280" spans="1:17" outlineLevel="6" x14ac:dyDescent="0.4">
      <c r="A280" s="70">
        <v>10</v>
      </c>
      <c r="B280" s="3">
        <v>300</v>
      </c>
      <c r="C280" s="3">
        <v>0</v>
      </c>
      <c r="D280" s="3">
        <v>1000</v>
      </c>
      <c r="E280" s="3">
        <v>600</v>
      </c>
      <c r="F280" s="3">
        <v>0</v>
      </c>
      <c r="G280" s="3">
        <v>3120</v>
      </c>
      <c r="H280" s="31" t="s">
        <v>183</v>
      </c>
      <c r="I280" s="32">
        <v>2356</v>
      </c>
      <c r="J280" s="32">
        <v>301</v>
      </c>
      <c r="K280" s="40">
        <v>1088</v>
      </c>
      <c r="L280" s="40">
        <v>2000</v>
      </c>
      <c r="M280" s="451">
        <f t="shared" si="46"/>
        <v>-1088</v>
      </c>
      <c r="N280" s="417">
        <v>0</v>
      </c>
    </row>
    <row r="281" spans="1:17" outlineLevel="6" x14ac:dyDescent="0.4">
      <c r="A281" s="70">
        <v>10</v>
      </c>
      <c r="B281" s="3">
        <v>300</v>
      </c>
      <c r="C281" s="3">
        <v>0</v>
      </c>
      <c r="D281" s="3">
        <v>1000</v>
      </c>
      <c r="E281" s="3">
        <v>600</v>
      </c>
      <c r="F281" s="3">
        <v>0</v>
      </c>
      <c r="G281" s="3" t="s">
        <v>1323</v>
      </c>
      <c r="H281" s="31" t="s">
        <v>1324</v>
      </c>
      <c r="I281" s="32">
        <v>0</v>
      </c>
      <c r="J281" s="32">
        <v>1632</v>
      </c>
      <c r="K281" s="40">
        <v>1632</v>
      </c>
      <c r="L281" s="40">
        <v>0</v>
      </c>
      <c r="M281" s="451">
        <f t="shared" si="46"/>
        <v>-1632</v>
      </c>
      <c r="N281" s="417">
        <v>0</v>
      </c>
      <c r="Q281" s="509"/>
    </row>
    <row r="282" spans="1:17" outlineLevel="6" x14ac:dyDescent="0.4">
      <c r="A282" s="70">
        <v>10</v>
      </c>
      <c r="B282" s="3">
        <v>300</v>
      </c>
      <c r="C282" s="3">
        <v>0</v>
      </c>
      <c r="D282" s="3">
        <v>1000</v>
      </c>
      <c r="E282" s="3">
        <v>735</v>
      </c>
      <c r="F282" s="3">
        <v>0</v>
      </c>
      <c r="G282" s="3" t="s">
        <v>439</v>
      </c>
      <c r="H282" s="31" t="s">
        <v>184</v>
      </c>
      <c r="I282" s="32">
        <v>0</v>
      </c>
      <c r="J282" s="32">
        <v>0</v>
      </c>
      <c r="K282" s="40">
        <v>0</v>
      </c>
      <c r="L282" s="40">
        <v>0</v>
      </c>
      <c r="M282" s="451">
        <f t="shared" ref="M282" si="54">N282-K282</f>
        <v>500</v>
      </c>
      <c r="N282" s="417">
        <v>500</v>
      </c>
    </row>
    <row r="283" spans="1:17" outlineLevel="6" x14ac:dyDescent="0.4">
      <c r="A283" s="70">
        <v>10</v>
      </c>
      <c r="B283" s="3">
        <v>300</v>
      </c>
      <c r="C283" s="3">
        <v>0</v>
      </c>
      <c r="D283" s="3">
        <v>1000</v>
      </c>
      <c r="E283" s="3">
        <v>735</v>
      </c>
      <c r="F283" s="3">
        <v>0</v>
      </c>
      <c r="G283" s="3">
        <v>3120</v>
      </c>
      <c r="H283" s="31" t="s">
        <v>184</v>
      </c>
      <c r="I283" s="32">
        <v>0</v>
      </c>
      <c r="J283" s="32">
        <v>0</v>
      </c>
      <c r="K283" s="40">
        <v>0</v>
      </c>
      <c r="L283" s="40">
        <v>500</v>
      </c>
      <c r="M283" s="451">
        <f t="shared" si="46"/>
        <v>0</v>
      </c>
      <c r="N283" s="417">
        <v>0</v>
      </c>
    </row>
    <row r="284" spans="1:17" ht="27" outlineLevel="6" thickBot="1" x14ac:dyDescent="0.45">
      <c r="A284" s="70">
        <v>10</v>
      </c>
      <c r="B284" s="3">
        <v>300</v>
      </c>
      <c r="C284" s="3">
        <v>0</v>
      </c>
      <c r="D284" s="3">
        <v>1000</v>
      </c>
      <c r="E284" s="3">
        <v>735</v>
      </c>
      <c r="F284" s="3">
        <v>0</v>
      </c>
      <c r="G284" s="3" t="s">
        <v>1323</v>
      </c>
      <c r="H284" s="31" t="s">
        <v>1386</v>
      </c>
      <c r="I284" s="32">
        <v>0</v>
      </c>
      <c r="J284" s="32">
        <v>687</v>
      </c>
      <c r="K284" s="40">
        <v>1030</v>
      </c>
      <c r="L284" s="40">
        <v>0</v>
      </c>
      <c r="M284" s="451">
        <f t="shared" si="46"/>
        <v>-1030</v>
      </c>
      <c r="N284" s="417">
        <v>0</v>
      </c>
      <c r="Q284" s="509"/>
    </row>
    <row r="285" spans="1:17" ht="27" outlineLevel="5" thickBot="1" x14ac:dyDescent="0.45">
      <c r="A285" s="71"/>
      <c r="B285" s="6"/>
      <c r="C285" s="6"/>
      <c r="D285" s="9" t="s">
        <v>185</v>
      </c>
      <c r="E285" s="6"/>
      <c r="F285" s="6"/>
      <c r="G285" s="6"/>
      <c r="H285" s="41"/>
      <c r="I285" s="42">
        <f>SUBTOTAL(9,I260:I284)</f>
        <v>41521</v>
      </c>
      <c r="J285" s="42">
        <f>SUBTOTAL(9,J260:J284)</f>
        <v>64727</v>
      </c>
      <c r="K285" s="43">
        <f>SUBTOTAL(9,K260:K284)</f>
        <v>67545</v>
      </c>
      <c r="L285" s="43">
        <f>SUBTOTAL(9,L260:L284)</f>
        <v>21829</v>
      </c>
      <c r="M285" s="453">
        <f>N285-K285</f>
        <v>-45325</v>
      </c>
      <c r="N285" s="237">
        <f>SUBTOTAL(9,N260:N284)</f>
        <v>22220</v>
      </c>
    </row>
    <row r="286" spans="1:17" outlineLevel="6" x14ac:dyDescent="0.4">
      <c r="A286" s="70">
        <v>10</v>
      </c>
      <c r="B286" s="3">
        <v>300</v>
      </c>
      <c r="C286" s="3">
        <v>0</v>
      </c>
      <c r="D286" s="3">
        <v>1100</v>
      </c>
      <c r="E286" s="3">
        <v>110</v>
      </c>
      <c r="F286" s="3">
        <v>200</v>
      </c>
      <c r="G286" s="3">
        <v>0</v>
      </c>
      <c r="H286" s="31" t="s">
        <v>186</v>
      </c>
      <c r="I286" s="32">
        <v>42465</v>
      </c>
      <c r="J286" s="32">
        <v>29542</v>
      </c>
      <c r="K286" s="348">
        <f>17982.5+11010+350+200</f>
        <v>29542.5</v>
      </c>
      <c r="L286" s="141">
        <f>16023+22333</f>
        <v>38356</v>
      </c>
      <c r="M286" s="451">
        <f>N286-K286</f>
        <v>-9361.5</v>
      </c>
      <c r="N286" s="415">
        <v>20181</v>
      </c>
      <c r="O286" s="29" t="s">
        <v>2384</v>
      </c>
    </row>
    <row r="287" spans="1:17" outlineLevel="6" x14ac:dyDescent="0.4">
      <c r="A287" s="70">
        <v>10</v>
      </c>
      <c r="B287" s="3">
        <v>300</v>
      </c>
      <c r="C287" s="3">
        <v>0</v>
      </c>
      <c r="D287" s="3">
        <v>1100</v>
      </c>
      <c r="E287" s="3">
        <v>110</v>
      </c>
      <c r="F287" s="3" t="s">
        <v>494</v>
      </c>
      <c r="G287" s="3">
        <v>0</v>
      </c>
      <c r="H287" s="31" t="s">
        <v>2383</v>
      </c>
      <c r="I287" s="32">
        <v>0</v>
      </c>
      <c r="J287" s="32">
        <v>0</v>
      </c>
      <c r="K287" s="348">
        <v>0</v>
      </c>
      <c r="L287" s="141">
        <v>0</v>
      </c>
      <c r="M287" s="451">
        <f>N287-K287</f>
        <v>11913</v>
      </c>
      <c r="N287" s="415">
        <v>11913</v>
      </c>
      <c r="O287" s="29" t="s">
        <v>2385</v>
      </c>
    </row>
    <row r="288" spans="1:17" outlineLevel="6" x14ac:dyDescent="0.4">
      <c r="A288" s="70">
        <v>10</v>
      </c>
      <c r="B288" s="3">
        <v>300</v>
      </c>
      <c r="C288" s="3">
        <v>0</v>
      </c>
      <c r="D288" s="3">
        <v>1100</v>
      </c>
      <c r="E288" s="3">
        <v>120</v>
      </c>
      <c r="F288" s="3">
        <v>200</v>
      </c>
      <c r="G288" s="3">
        <v>0</v>
      </c>
      <c r="H288" s="31" t="s">
        <v>187</v>
      </c>
      <c r="I288" s="32">
        <v>500</v>
      </c>
      <c r="J288" s="32">
        <v>730</v>
      </c>
      <c r="K288" s="346">
        <v>675</v>
      </c>
      <c r="L288" s="141">
        <v>900</v>
      </c>
      <c r="M288" s="451">
        <f t="shared" ref="M288:M302" si="55">N288-K288</f>
        <v>-225</v>
      </c>
      <c r="N288" s="414">
        <v>450</v>
      </c>
    </row>
    <row r="289" spans="1:17" outlineLevel="6" x14ac:dyDescent="0.4">
      <c r="A289" s="70">
        <v>10</v>
      </c>
      <c r="B289" s="3">
        <v>300</v>
      </c>
      <c r="C289" s="3">
        <v>0</v>
      </c>
      <c r="D289" s="3">
        <v>1100</v>
      </c>
      <c r="E289" s="3">
        <v>120</v>
      </c>
      <c r="F289" s="3" t="s">
        <v>494</v>
      </c>
      <c r="G289" s="3">
        <v>0</v>
      </c>
      <c r="H289" s="31" t="s">
        <v>2386</v>
      </c>
      <c r="I289" s="32">
        <v>0</v>
      </c>
      <c r="J289" s="32">
        <v>0</v>
      </c>
      <c r="K289" s="346">
        <v>0</v>
      </c>
      <c r="L289" s="141">
        <v>0</v>
      </c>
      <c r="M289" s="451">
        <f t="shared" ref="M289" si="56">N289-K289</f>
        <v>450</v>
      </c>
      <c r="N289" s="414">
        <v>450</v>
      </c>
      <c r="Q289" s="509"/>
    </row>
    <row r="290" spans="1:17" outlineLevel="6" x14ac:dyDescent="0.4">
      <c r="A290" s="70">
        <v>10</v>
      </c>
      <c r="B290" s="3">
        <v>300</v>
      </c>
      <c r="C290" s="3">
        <v>0</v>
      </c>
      <c r="D290" s="3">
        <v>1100</v>
      </c>
      <c r="E290" s="3">
        <v>210</v>
      </c>
      <c r="F290" s="3">
        <v>200</v>
      </c>
      <c r="G290" s="3">
        <v>0</v>
      </c>
      <c r="H290" s="31" t="s">
        <v>188</v>
      </c>
      <c r="I290" s="32">
        <v>66</v>
      </c>
      <c r="J290" s="32">
        <v>33</v>
      </c>
      <c r="K290" s="346">
        <v>33</v>
      </c>
      <c r="L290" s="141">
        <v>66</v>
      </c>
      <c r="M290" s="451">
        <f t="shared" si="55"/>
        <v>0</v>
      </c>
      <c r="N290" s="414">
        <v>33</v>
      </c>
    </row>
    <row r="291" spans="1:17" outlineLevel="6" x14ac:dyDescent="0.4">
      <c r="A291" s="70">
        <v>10</v>
      </c>
      <c r="B291" s="3">
        <v>300</v>
      </c>
      <c r="C291" s="3">
        <v>0</v>
      </c>
      <c r="D291" s="3">
        <v>1100</v>
      </c>
      <c r="E291" s="3">
        <v>210</v>
      </c>
      <c r="F291" s="3" t="s">
        <v>494</v>
      </c>
      <c r="G291" s="3">
        <v>0</v>
      </c>
      <c r="H291" s="31" t="s">
        <v>188</v>
      </c>
      <c r="I291" s="32">
        <v>0</v>
      </c>
      <c r="J291" s="32">
        <v>0</v>
      </c>
      <c r="K291" s="346">
        <v>0</v>
      </c>
      <c r="L291" s="141">
        <v>0</v>
      </c>
      <c r="M291" s="451">
        <f t="shared" ref="M291" si="57">N291-K291</f>
        <v>33</v>
      </c>
      <c r="N291" s="414">
        <v>33</v>
      </c>
    </row>
    <row r="292" spans="1:17" outlineLevel="6" x14ac:dyDescent="0.4">
      <c r="A292" s="70">
        <v>10</v>
      </c>
      <c r="B292" s="3">
        <v>300</v>
      </c>
      <c r="C292" s="3">
        <v>0</v>
      </c>
      <c r="D292" s="3">
        <v>1100</v>
      </c>
      <c r="E292" s="3">
        <v>215</v>
      </c>
      <c r="F292" s="3">
        <v>200</v>
      </c>
      <c r="G292" s="3">
        <v>0</v>
      </c>
      <c r="H292" s="31" t="s">
        <v>67</v>
      </c>
      <c r="I292" s="32">
        <v>127</v>
      </c>
      <c r="J292" s="32">
        <v>88</v>
      </c>
      <c r="K292" s="346">
        <f>90+1</f>
        <v>91</v>
      </c>
      <c r="L292" s="141">
        <v>118</v>
      </c>
      <c r="M292" s="451">
        <f t="shared" si="55"/>
        <v>-29</v>
      </c>
      <c r="N292" s="414">
        <v>62</v>
      </c>
    </row>
    <row r="293" spans="1:17" outlineLevel="6" x14ac:dyDescent="0.4">
      <c r="A293" s="70">
        <v>10</v>
      </c>
      <c r="B293" s="3">
        <v>300</v>
      </c>
      <c r="C293" s="3">
        <v>0</v>
      </c>
      <c r="D293" s="3">
        <v>1100</v>
      </c>
      <c r="E293" s="3">
        <v>215</v>
      </c>
      <c r="F293" s="3" t="s">
        <v>494</v>
      </c>
      <c r="G293" s="3">
        <v>0</v>
      </c>
      <c r="H293" s="31" t="s">
        <v>67</v>
      </c>
      <c r="I293" s="32">
        <v>0</v>
      </c>
      <c r="J293" s="32">
        <v>0</v>
      </c>
      <c r="K293" s="346">
        <v>0</v>
      </c>
      <c r="L293" s="141">
        <v>0</v>
      </c>
      <c r="M293" s="451">
        <f t="shared" ref="M293" si="58">N293-K293</f>
        <v>38</v>
      </c>
      <c r="N293" s="414">
        <v>38</v>
      </c>
    </row>
    <row r="294" spans="1:17" outlineLevel="6" x14ac:dyDescent="0.4">
      <c r="A294" s="70">
        <v>10</v>
      </c>
      <c r="B294" s="3">
        <v>300</v>
      </c>
      <c r="C294" s="3">
        <v>0</v>
      </c>
      <c r="D294" s="3">
        <v>1100</v>
      </c>
      <c r="E294" s="3">
        <v>221</v>
      </c>
      <c r="F294" s="3">
        <v>200</v>
      </c>
      <c r="G294" s="3">
        <v>0</v>
      </c>
      <c r="H294" s="31" t="s">
        <v>189</v>
      </c>
      <c r="I294" s="32">
        <v>614</v>
      </c>
      <c r="J294" s="32">
        <v>427</v>
      </c>
      <c r="K294" s="346">
        <f>436+3</f>
        <v>439</v>
      </c>
      <c r="L294" s="141">
        <v>570</v>
      </c>
      <c r="M294" s="451">
        <f t="shared" si="55"/>
        <v>-139</v>
      </c>
      <c r="N294" s="414">
        <v>300</v>
      </c>
    </row>
    <row r="295" spans="1:17" outlineLevel="6" x14ac:dyDescent="0.4">
      <c r="A295" s="70">
        <v>10</v>
      </c>
      <c r="B295" s="3">
        <v>300</v>
      </c>
      <c r="C295" s="3">
        <v>0</v>
      </c>
      <c r="D295" s="3">
        <v>1100</v>
      </c>
      <c r="E295" s="3">
        <v>221</v>
      </c>
      <c r="F295" s="3" t="s">
        <v>494</v>
      </c>
      <c r="G295" s="3">
        <v>0</v>
      </c>
      <c r="H295" s="31" t="s">
        <v>189</v>
      </c>
      <c r="I295" s="32">
        <v>0</v>
      </c>
      <c r="J295" s="32">
        <v>0</v>
      </c>
      <c r="K295" s="346">
        <v>0</v>
      </c>
      <c r="L295" s="141">
        <v>0</v>
      </c>
      <c r="M295" s="451">
        <f t="shared" ref="M295" si="59">N295-K295</f>
        <v>180</v>
      </c>
      <c r="N295" s="414">
        <v>180</v>
      </c>
    </row>
    <row r="296" spans="1:17" outlineLevel="6" x14ac:dyDescent="0.4">
      <c r="A296" s="70">
        <v>10</v>
      </c>
      <c r="B296" s="3">
        <v>300</v>
      </c>
      <c r="C296" s="3">
        <v>0</v>
      </c>
      <c r="D296" s="3">
        <v>1100</v>
      </c>
      <c r="E296" s="3">
        <v>230</v>
      </c>
      <c r="F296" s="3">
        <v>200</v>
      </c>
      <c r="G296" s="3">
        <v>0</v>
      </c>
      <c r="H296" s="31" t="s">
        <v>190</v>
      </c>
      <c r="I296" s="146">
        <v>99</v>
      </c>
      <c r="J296" s="146">
        <v>2277</v>
      </c>
      <c r="K296" s="346">
        <v>2426</v>
      </c>
      <c r="L296" s="141">
        <v>8009</v>
      </c>
      <c r="M296" s="451">
        <f t="shared" si="55"/>
        <v>1783</v>
      </c>
      <c r="N296" s="414">
        <v>4209</v>
      </c>
    </row>
    <row r="297" spans="1:17" outlineLevel="6" x14ac:dyDescent="0.4">
      <c r="A297" s="70">
        <v>10</v>
      </c>
      <c r="B297" s="3">
        <v>300</v>
      </c>
      <c r="C297" s="3">
        <v>0</v>
      </c>
      <c r="D297" s="3">
        <v>1100</v>
      </c>
      <c r="E297" s="3">
        <v>230</v>
      </c>
      <c r="F297" s="3" t="s">
        <v>494</v>
      </c>
      <c r="G297" s="3">
        <v>0</v>
      </c>
      <c r="H297" s="31" t="s">
        <v>190</v>
      </c>
      <c r="I297" s="146">
        <v>0</v>
      </c>
      <c r="J297" s="146">
        <v>0</v>
      </c>
      <c r="K297" s="346">
        <v>0</v>
      </c>
      <c r="L297" s="141">
        <v>0</v>
      </c>
      <c r="M297" s="451">
        <f t="shared" ref="M297" si="60">N297-K297</f>
        <v>2523</v>
      </c>
      <c r="N297" s="414">
        <v>2523</v>
      </c>
    </row>
    <row r="298" spans="1:17" outlineLevel="6" x14ac:dyDescent="0.4">
      <c r="A298" s="70">
        <v>10</v>
      </c>
      <c r="B298" s="3">
        <v>300</v>
      </c>
      <c r="C298" s="3">
        <v>0</v>
      </c>
      <c r="D298" s="3">
        <v>1100</v>
      </c>
      <c r="E298" s="3">
        <v>250</v>
      </c>
      <c r="F298" s="3">
        <v>200</v>
      </c>
      <c r="G298" s="3">
        <v>0</v>
      </c>
      <c r="H298" s="31" t="s">
        <v>191</v>
      </c>
      <c r="I298" s="146">
        <v>5717</v>
      </c>
      <c r="J298" s="146">
        <v>2706</v>
      </c>
      <c r="K298" s="346">
        <v>2450</v>
      </c>
      <c r="L298" s="141">
        <v>6132</v>
      </c>
      <c r="M298" s="451">
        <f t="shared" si="55"/>
        <v>637</v>
      </c>
      <c r="N298" s="414">
        <v>3087</v>
      </c>
    </row>
    <row r="299" spans="1:17" outlineLevel="6" x14ac:dyDescent="0.4">
      <c r="A299" s="70">
        <v>10</v>
      </c>
      <c r="B299" s="3">
        <v>300</v>
      </c>
      <c r="C299" s="3">
        <v>0</v>
      </c>
      <c r="D299" s="3">
        <v>1100</v>
      </c>
      <c r="E299" s="3">
        <v>250</v>
      </c>
      <c r="F299" s="3" t="s">
        <v>494</v>
      </c>
      <c r="G299" s="3">
        <v>0</v>
      </c>
      <c r="H299" s="31" t="s">
        <v>191</v>
      </c>
      <c r="I299" s="146">
        <v>0</v>
      </c>
      <c r="J299" s="146">
        <v>0</v>
      </c>
      <c r="K299" s="346">
        <v>0</v>
      </c>
      <c r="L299" s="141">
        <v>0</v>
      </c>
      <c r="M299" s="451">
        <f t="shared" ref="M299" si="61">N299-K299</f>
        <v>3087</v>
      </c>
      <c r="N299" s="414">
        <v>3087</v>
      </c>
    </row>
    <row r="300" spans="1:17" outlineLevel="6" x14ac:dyDescent="0.4">
      <c r="A300" s="70">
        <v>10</v>
      </c>
      <c r="B300" s="3">
        <v>300</v>
      </c>
      <c r="C300" s="3">
        <v>0</v>
      </c>
      <c r="D300" s="3">
        <v>1100</v>
      </c>
      <c r="E300" s="3" t="s">
        <v>2287</v>
      </c>
      <c r="F300" s="3">
        <v>200</v>
      </c>
      <c r="G300" s="3" t="s">
        <v>2285</v>
      </c>
      <c r="H300" s="31" t="s">
        <v>2415</v>
      </c>
      <c r="I300" s="146">
        <v>0</v>
      </c>
      <c r="J300" s="146">
        <v>347</v>
      </c>
      <c r="K300" s="346">
        <v>0</v>
      </c>
      <c r="L300" s="141">
        <v>0</v>
      </c>
      <c r="M300" s="451">
        <v>0</v>
      </c>
      <c r="N300" s="414">
        <v>619</v>
      </c>
    </row>
    <row r="301" spans="1:17" outlineLevel="6" x14ac:dyDescent="0.4">
      <c r="A301" s="70">
        <v>10</v>
      </c>
      <c r="B301" s="3">
        <v>300</v>
      </c>
      <c r="C301" s="3">
        <v>0</v>
      </c>
      <c r="D301" s="3">
        <v>1100</v>
      </c>
      <c r="E301" s="3" t="s">
        <v>2287</v>
      </c>
      <c r="F301" s="3" t="s">
        <v>494</v>
      </c>
      <c r="G301" s="3" t="s">
        <v>2285</v>
      </c>
      <c r="H301" s="31" t="s">
        <v>2416</v>
      </c>
      <c r="I301" s="146">
        <v>0</v>
      </c>
      <c r="J301" s="146">
        <v>0</v>
      </c>
      <c r="K301" s="346">
        <v>0</v>
      </c>
      <c r="L301" s="141">
        <v>0</v>
      </c>
      <c r="M301" s="451">
        <v>0</v>
      </c>
      <c r="N301" s="414">
        <v>371</v>
      </c>
      <c r="Q301" s="509"/>
    </row>
    <row r="302" spans="1:17" ht="27" outlineLevel="6" thickBot="1" x14ac:dyDescent="0.45">
      <c r="A302" s="70">
        <v>10</v>
      </c>
      <c r="B302" s="3">
        <v>300</v>
      </c>
      <c r="C302" s="3">
        <v>0</v>
      </c>
      <c r="D302" s="3">
        <v>1100</v>
      </c>
      <c r="E302" s="3">
        <v>600</v>
      </c>
      <c r="F302" s="3">
        <v>0</v>
      </c>
      <c r="G302" s="3">
        <v>0</v>
      </c>
      <c r="H302" s="31" t="s">
        <v>192</v>
      </c>
      <c r="I302" s="146">
        <v>10</v>
      </c>
      <c r="J302" s="146">
        <v>60</v>
      </c>
      <c r="K302" s="346">
        <v>300</v>
      </c>
      <c r="L302" s="141">
        <v>300</v>
      </c>
      <c r="M302" s="451">
        <f t="shared" si="55"/>
        <v>0</v>
      </c>
      <c r="N302" s="414">
        <v>300</v>
      </c>
    </row>
    <row r="303" spans="1:17" ht="27" outlineLevel="5" thickBot="1" x14ac:dyDescent="0.45">
      <c r="A303" s="71"/>
      <c r="B303" s="6"/>
      <c r="C303" s="6"/>
      <c r="D303" s="9" t="s">
        <v>193</v>
      </c>
      <c r="E303" s="6"/>
      <c r="F303" s="6"/>
      <c r="G303" s="6"/>
      <c r="H303" s="41"/>
      <c r="I303" s="42">
        <f>SUBTOTAL(9,I286:I302)</f>
        <v>49598</v>
      </c>
      <c r="J303" s="42">
        <f>SUBTOTAL(9,J286:J302)</f>
        <v>36210</v>
      </c>
      <c r="K303" s="43">
        <f>SUBTOTAL(9,K286:K302)</f>
        <v>35956.5</v>
      </c>
      <c r="L303" s="43">
        <f>SUBTOTAL(9,L286:L302)</f>
        <v>54451</v>
      </c>
      <c r="M303" s="453">
        <f>N303-K303</f>
        <v>11879.5</v>
      </c>
      <c r="N303" s="237">
        <f>SUBTOTAL(9,N286:N302)</f>
        <v>47836</v>
      </c>
    </row>
    <row r="304" spans="1:17" outlineLevel="6" x14ac:dyDescent="0.4">
      <c r="A304" s="70">
        <v>10</v>
      </c>
      <c r="B304" s="3">
        <v>300</v>
      </c>
      <c r="C304" s="3">
        <v>0</v>
      </c>
      <c r="D304" s="3">
        <v>1300</v>
      </c>
      <c r="E304" s="3">
        <v>110</v>
      </c>
      <c r="F304" s="3">
        <v>200</v>
      </c>
      <c r="G304" s="3">
        <v>0</v>
      </c>
      <c r="H304" s="31" t="s">
        <v>194</v>
      </c>
      <c r="I304" s="32">
        <v>16283</v>
      </c>
      <c r="J304" s="32">
        <v>11584</v>
      </c>
      <c r="K304" s="346">
        <f>16245-3144+100</f>
        <v>13201</v>
      </c>
      <c r="L304" s="141">
        <f>15922+100+750</f>
        <v>16772</v>
      </c>
      <c r="M304" s="451">
        <f>N304-K304</f>
        <v>3571</v>
      </c>
      <c r="N304" s="414">
        <v>16772</v>
      </c>
      <c r="O304" s="29" t="s">
        <v>1456</v>
      </c>
    </row>
    <row r="305" spans="1:17" outlineLevel="6" x14ac:dyDescent="0.4">
      <c r="A305" s="70">
        <v>10</v>
      </c>
      <c r="B305" s="3">
        <v>300</v>
      </c>
      <c r="C305" s="3">
        <v>0</v>
      </c>
      <c r="D305" s="3">
        <v>1300</v>
      </c>
      <c r="E305" s="3">
        <v>120</v>
      </c>
      <c r="F305" s="3">
        <v>200</v>
      </c>
      <c r="G305" s="3">
        <v>0</v>
      </c>
      <c r="H305" s="31" t="s">
        <v>195</v>
      </c>
      <c r="I305" s="32">
        <v>600</v>
      </c>
      <c r="J305" s="32">
        <v>4417</v>
      </c>
      <c r="K305" s="346">
        <f>450+2938+100</f>
        <v>3488</v>
      </c>
      <c r="L305" s="141">
        <v>450</v>
      </c>
      <c r="M305" s="451">
        <f t="shared" ref="M305:M313" si="62">N305-K305</f>
        <v>-3038</v>
      </c>
      <c r="N305" s="414">
        <v>450</v>
      </c>
      <c r="Q305" s="509"/>
    </row>
    <row r="306" spans="1:17" outlineLevel="6" x14ac:dyDescent="0.4">
      <c r="A306" s="70">
        <v>10</v>
      </c>
      <c r="B306" s="3">
        <v>300</v>
      </c>
      <c r="C306" s="3">
        <v>0</v>
      </c>
      <c r="D306" s="3">
        <v>1300</v>
      </c>
      <c r="E306" s="3">
        <v>210</v>
      </c>
      <c r="F306" s="3">
        <v>200</v>
      </c>
      <c r="G306" s="3">
        <v>0</v>
      </c>
      <c r="H306" s="31" t="s">
        <v>196</v>
      </c>
      <c r="I306" s="32">
        <v>33</v>
      </c>
      <c r="J306" s="32">
        <v>14</v>
      </c>
      <c r="K306" s="346">
        <v>33</v>
      </c>
      <c r="L306" s="141">
        <v>33</v>
      </c>
      <c r="M306" s="451">
        <f t="shared" si="62"/>
        <v>0</v>
      </c>
      <c r="N306" s="414">
        <v>33</v>
      </c>
    </row>
    <row r="307" spans="1:17" outlineLevel="6" x14ac:dyDescent="0.4">
      <c r="A307" s="70">
        <v>10</v>
      </c>
      <c r="B307" s="3">
        <v>300</v>
      </c>
      <c r="C307" s="3">
        <v>0</v>
      </c>
      <c r="D307" s="3">
        <v>1300</v>
      </c>
      <c r="E307" s="3">
        <v>215</v>
      </c>
      <c r="F307" s="3">
        <v>200</v>
      </c>
      <c r="G307" s="3">
        <v>0</v>
      </c>
      <c r="H307" s="31" t="s">
        <v>67</v>
      </c>
      <c r="I307" s="32">
        <v>51</v>
      </c>
      <c r="J307" s="32">
        <v>47</v>
      </c>
      <c r="K307" s="346">
        <f>51+1</f>
        <v>52</v>
      </c>
      <c r="L307" s="141">
        <v>52</v>
      </c>
      <c r="M307" s="451">
        <f t="shared" si="62"/>
        <v>0</v>
      </c>
      <c r="N307" s="414">
        <v>52</v>
      </c>
    </row>
    <row r="308" spans="1:17" outlineLevel="6" x14ac:dyDescent="0.4">
      <c r="A308" s="70">
        <v>10</v>
      </c>
      <c r="B308" s="3">
        <v>300</v>
      </c>
      <c r="C308" s="3">
        <v>0</v>
      </c>
      <c r="D308" s="3">
        <v>1300</v>
      </c>
      <c r="E308" s="3">
        <v>221</v>
      </c>
      <c r="F308" s="3">
        <v>200</v>
      </c>
      <c r="G308" s="3">
        <v>0</v>
      </c>
      <c r="H308" s="31" t="s">
        <v>197</v>
      </c>
      <c r="I308" s="32">
        <v>244</v>
      </c>
      <c r="J308" s="32">
        <v>229</v>
      </c>
      <c r="K308" s="346">
        <f>243+3</f>
        <v>246</v>
      </c>
      <c r="L308" s="141">
        <v>250</v>
      </c>
      <c r="M308" s="451">
        <f t="shared" si="62"/>
        <v>4</v>
      </c>
      <c r="N308" s="414">
        <v>250</v>
      </c>
    </row>
    <row r="309" spans="1:17" outlineLevel="6" x14ac:dyDescent="0.4">
      <c r="A309" s="70">
        <v>10</v>
      </c>
      <c r="B309" s="3">
        <v>300</v>
      </c>
      <c r="C309" s="3">
        <v>0</v>
      </c>
      <c r="D309" s="3">
        <v>1300</v>
      </c>
      <c r="E309" s="3">
        <v>230</v>
      </c>
      <c r="F309" s="3">
        <v>200</v>
      </c>
      <c r="G309" s="3">
        <v>0</v>
      </c>
      <c r="H309" s="31" t="s">
        <v>198</v>
      </c>
      <c r="I309" s="32">
        <v>3317</v>
      </c>
      <c r="J309" s="32">
        <v>3138</v>
      </c>
      <c r="K309" s="346">
        <v>3365</v>
      </c>
      <c r="L309" s="141">
        <v>3514</v>
      </c>
      <c r="M309" s="451">
        <f t="shared" si="62"/>
        <v>149</v>
      </c>
      <c r="N309" s="414">
        <v>3514</v>
      </c>
    </row>
    <row r="310" spans="1:17" outlineLevel="6" x14ac:dyDescent="0.4">
      <c r="A310" s="70">
        <v>10</v>
      </c>
      <c r="B310" s="3">
        <v>300</v>
      </c>
      <c r="C310" s="3">
        <v>0</v>
      </c>
      <c r="D310" s="3">
        <v>1300</v>
      </c>
      <c r="E310" s="3">
        <v>250</v>
      </c>
      <c r="F310" s="3">
        <v>200</v>
      </c>
      <c r="G310" s="3">
        <v>0</v>
      </c>
      <c r="H310" s="31" t="s">
        <v>199</v>
      </c>
      <c r="I310" s="32">
        <v>2858</v>
      </c>
      <c r="J310" s="32">
        <v>1225</v>
      </c>
      <c r="K310" s="346">
        <v>2940</v>
      </c>
      <c r="L310" s="141">
        <v>3066</v>
      </c>
      <c r="M310" s="451">
        <f t="shared" si="62"/>
        <v>126</v>
      </c>
      <c r="N310" s="414">
        <v>3066</v>
      </c>
    </row>
    <row r="311" spans="1:17" outlineLevel="6" x14ac:dyDescent="0.4">
      <c r="A311" s="70">
        <v>10</v>
      </c>
      <c r="B311" s="3">
        <v>300</v>
      </c>
      <c r="C311" s="3">
        <v>0</v>
      </c>
      <c r="D311" s="3">
        <v>1300</v>
      </c>
      <c r="E311" s="3" t="s">
        <v>2287</v>
      </c>
      <c r="F311" s="3">
        <v>200</v>
      </c>
      <c r="G311" s="3" t="s">
        <v>2285</v>
      </c>
      <c r="H311" s="31" t="s">
        <v>2417</v>
      </c>
      <c r="I311" s="32">
        <v>0</v>
      </c>
      <c r="J311" s="32">
        <v>498</v>
      </c>
      <c r="K311" s="346">
        <v>0</v>
      </c>
      <c r="L311" s="141">
        <v>0</v>
      </c>
      <c r="M311" s="451">
        <f t="shared" ref="M311" si="63">N311-K311</f>
        <v>517</v>
      </c>
      <c r="N311" s="414">
        <v>517</v>
      </c>
      <c r="Q311" s="509"/>
    </row>
    <row r="312" spans="1:17" outlineLevel="6" x14ac:dyDescent="0.4">
      <c r="A312" s="70">
        <v>10</v>
      </c>
      <c r="B312" s="3">
        <v>300</v>
      </c>
      <c r="C312" s="3">
        <v>0</v>
      </c>
      <c r="D312" s="3">
        <v>1300</v>
      </c>
      <c r="E312" s="3">
        <v>600</v>
      </c>
      <c r="F312" s="3">
        <v>0</v>
      </c>
      <c r="G312" s="3"/>
      <c r="H312" s="31" t="s">
        <v>200</v>
      </c>
      <c r="I312" s="32">
        <v>230</v>
      </c>
      <c r="J312" s="32">
        <v>518</v>
      </c>
      <c r="K312" s="346">
        <v>750</v>
      </c>
      <c r="L312" s="141">
        <v>1500</v>
      </c>
      <c r="M312" s="451">
        <f t="shared" si="62"/>
        <v>750</v>
      </c>
      <c r="N312" s="414">
        <v>1500</v>
      </c>
    </row>
    <row r="313" spans="1:17" ht="27" outlineLevel="6" thickBot="1" x14ac:dyDescent="0.45">
      <c r="A313" s="70">
        <v>10</v>
      </c>
      <c r="B313" s="3">
        <v>300</v>
      </c>
      <c r="C313" s="3">
        <v>0</v>
      </c>
      <c r="D313" s="3">
        <v>1300</v>
      </c>
      <c r="E313" s="3">
        <v>600</v>
      </c>
      <c r="F313" s="3">
        <v>0</v>
      </c>
      <c r="G313" s="3" t="s">
        <v>1323</v>
      </c>
      <c r="H313" s="31" t="s">
        <v>1378</v>
      </c>
      <c r="I313" s="32">
        <v>0</v>
      </c>
      <c r="J313" s="32">
        <v>750</v>
      </c>
      <c r="K313" s="346">
        <v>750</v>
      </c>
      <c r="L313" s="141">
        <v>0</v>
      </c>
      <c r="M313" s="451">
        <f t="shared" si="62"/>
        <v>-750</v>
      </c>
      <c r="N313" s="414">
        <v>0</v>
      </c>
      <c r="Q313" s="509"/>
    </row>
    <row r="314" spans="1:17" ht="27" outlineLevel="5" thickBot="1" x14ac:dyDescent="0.45">
      <c r="A314" s="71"/>
      <c r="B314" s="6"/>
      <c r="C314" s="6"/>
      <c r="D314" s="6" t="s">
        <v>201</v>
      </c>
      <c r="E314" s="6"/>
      <c r="F314" s="6"/>
      <c r="G314" s="6"/>
      <c r="H314" s="41"/>
      <c r="I314" s="42">
        <f>SUBTOTAL(9,I304:I313)</f>
        <v>23616</v>
      </c>
      <c r="J314" s="42">
        <f>SUBTOTAL(9,J304:J313)</f>
        <v>22420</v>
      </c>
      <c r="K314" s="43">
        <f>SUBTOTAL(9,K304:K313)</f>
        <v>24825</v>
      </c>
      <c r="L314" s="43">
        <f>SUBTOTAL(9,L304:L313)</f>
        <v>25637</v>
      </c>
      <c r="M314" s="453">
        <f>N314-K314</f>
        <v>1329</v>
      </c>
      <c r="N314" s="237">
        <f>SUBTOTAL(9,N304:N313)</f>
        <v>26154</v>
      </c>
    </row>
    <row r="315" spans="1:17" outlineLevel="6" x14ac:dyDescent="0.4">
      <c r="A315" s="70">
        <v>10</v>
      </c>
      <c r="B315" s="3">
        <v>300</v>
      </c>
      <c r="C315" s="3">
        <v>0</v>
      </c>
      <c r="D315" s="3">
        <v>1500</v>
      </c>
      <c r="E315" s="3">
        <v>110</v>
      </c>
      <c r="F315" s="3">
        <v>200</v>
      </c>
      <c r="G315" s="3">
        <v>0</v>
      </c>
      <c r="H315" s="31" t="s">
        <v>202</v>
      </c>
      <c r="I315" s="32">
        <v>41470</v>
      </c>
      <c r="J315" s="32">
        <v>26309</v>
      </c>
      <c r="K315" s="39">
        <f>25906+150</f>
        <v>26056</v>
      </c>
      <c r="L315" s="40">
        <v>23494</v>
      </c>
      <c r="M315" s="451">
        <f>N315-K315</f>
        <v>-2562</v>
      </c>
      <c r="N315" s="418">
        <v>23494</v>
      </c>
      <c r="O315" s="29" t="s">
        <v>1462</v>
      </c>
    </row>
    <row r="316" spans="1:17" outlineLevel="6" x14ac:dyDescent="0.4">
      <c r="A316" s="70">
        <v>10</v>
      </c>
      <c r="B316" s="3">
        <v>300</v>
      </c>
      <c r="C316" s="3">
        <v>0</v>
      </c>
      <c r="D316" s="3">
        <v>1500</v>
      </c>
      <c r="E316" s="3">
        <v>120</v>
      </c>
      <c r="F316" s="3">
        <v>200</v>
      </c>
      <c r="G316" s="3">
        <v>0</v>
      </c>
      <c r="H316" s="31" t="s">
        <v>203</v>
      </c>
      <c r="I316" s="32">
        <v>725</v>
      </c>
      <c r="J316" s="32">
        <v>1700</v>
      </c>
      <c r="K316" s="40">
        <v>675</v>
      </c>
      <c r="L316" s="40">
        <v>600</v>
      </c>
      <c r="M316" s="451">
        <f t="shared" ref="M316:M323" si="64">N316-K316</f>
        <v>-75</v>
      </c>
      <c r="N316" s="418">
        <v>600</v>
      </c>
      <c r="Q316" s="509"/>
    </row>
    <row r="317" spans="1:17" outlineLevel="6" x14ac:dyDescent="0.4">
      <c r="A317" s="70">
        <v>10</v>
      </c>
      <c r="B317" s="3">
        <v>300</v>
      </c>
      <c r="C317" s="3">
        <v>0</v>
      </c>
      <c r="D317" s="3">
        <v>1500</v>
      </c>
      <c r="E317" s="3">
        <v>210</v>
      </c>
      <c r="F317" s="3">
        <v>200</v>
      </c>
      <c r="G317" s="3">
        <v>0</v>
      </c>
      <c r="H317" s="31" t="s">
        <v>204</v>
      </c>
      <c r="I317" s="32">
        <v>66</v>
      </c>
      <c r="J317" s="32">
        <v>41</v>
      </c>
      <c r="K317" s="40">
        <v>50</v>
      </c>
      <c r="L317" s="40">
        <v>44</v>
      </c>
      <c r="M317" s="451">
        <f t="shared" si="64"/>
        <v>-6</v>
      </c>
      <c r="N317" s="417">
        <v>44</v>
      </c>
    </row>
    <row r="318" spans="1:17" outlineLevel="6" x14ac:dyDescent="0.4">
      <c r="A318" s="70">
        <v>10</v>
      </c>
      <c r="B318" s="3">
        <v>300</v>
      </c>
      <c r="C318" s="3">
        <v>0</v>
      </c>
      <c r="D318" s="3">
        <v>1500</v>
      </c>
      <c r="E318" s="3">
        <v>215</v>
      </c>
      <c r="F318" s="3">
        <v>200</v>
      </c>
      <c r="G318" s="3">
        <v>0</v>
      </c>
      <c r="H318" s="31" t="s">
        <v>67</v>
      </c>
      <c r="I318" s="32">
        <v>125</v>
      </c>
      <c r="J318" s="32">
        <v>83</v>
      </c>
      <c r="K318" s="40">
        <f>80+1</f>
        <v>81</v>
      </c>
      <c r="L318" s="40">
        <v>73</v>
      </c>
      <c r="M318" s="451">
        <f t="shared" si="64"/>
        <v>-8</v>
      </c>
      <c r="N318" s="417">
        <v>73</v>
      </c>
    </row>
    <row r="319" spans="1:17" outlineLevel="6" x14ac:dyDescent="0.4">
      <c r="A319" s="70">
        <v>10</v>
      </c>
      <c r="B319" s="3">
        <v>300</v>
      </c>
      <c r="C319" s="3">
        <v>0</v>
      </c>
      <c r="D319" s="3">
        <v>1500</v>
      </c>
      <c r="E319" s="3">
        <v>221</v>
      </c>
      <c r="F319" s="3">
        <v>200</v>
      </c>
      <c r="G319" s="3">
        <v>0</v>
      </c>
      <c r="H319" s="31" t="s">
        <v>205</v>
      </c>
      <c r="I319" s="32">
        <v>608</v>
      </c>
      <c r="J319" s="32">
        <v>402</v>
      </c>
      <c r="K319" s="40">
        <f>386+2</f>
        <v>388</v>
      </c>
      <c r="L319" s="40">
        <v>350</v>
      </c>
      <c r="M319" s="451">
        <f t="shared" si="64"/>
        <v>-38</v>
      </c>
      <c r="N319" s="417">
        <v>350</v>
      </c>
    </row>
    <row r="320" spans="1:17" outlineLevel="6" x14ac:dyDescent="0.4">
      <c r="A320" s="70">
        <v>10</v>
      </c>
      <c r="B320" s="3">
        <v>300</v>
      </c>
      <c r="C320" s="3">
        <v>0</v>
      </c>
      <c r="D320" s="3">
        <v>1500</v>
      </c>
      <c r="E320" s="3">
        <v>230</v>
      </c>
      <c r="F320" s="3">
        <v>200</v>
      </c>
      <c r="G320" s="3">
        <v>0</v>
      </c>
      <c r="H320" s="31" t="s">
        <v>206</v>
      </c>
      <c r="I320" s="32">
        <v>8280</v>
      </c>
      <c r="J320" s="32">
        <v>5556</v>
      </c>
      <c r="K320" s="40">
        <v>5357</v>
      </c>
      <c r="L320" s="40">
        <v>4916</v>
      </c>
      <c r="M320" s="451">
        <f t="shared" si="64"/>
        <v>-441</v>
      </c>
      <c r="N320" s="417">
        <v>4916</v>
      </c>
    </row>
    <row r="321" spans="1:17" outlineLevel="6" x14ac:dyDescent="0.4">
      <c r="A321" s="70">
        <v>10</v>
      </c>
      <c r="B321" s="3">
        <v>300</v>
      </c>
      <c r="C321" s="3">
        <v>0</v>
      </c>
      <c r="D321" s="3">
        <v>1500</v>
      </c>
      <c r="E321" s="3">
        <v>250</v>
      </c>
      <c r="F321" s="3">
        <v>200</v>
      </c>
      <c r="G321" s="3">
        <v>0</v>
      </c>
      <c r="H321" s="31" t="s">
        <v>207</v>
      </c>
      <c r="I321" s="32">
        <v>5749</v>
      </c>
      <c r="J321" s="32">
        <v>4431</v>
      </c>
      <c r="K321" s="40">
        <v>4410</v>
      </c>
      <c r="L321" s="40">
        <v>4088</v>
      </c>
      <c r="M321" s="451">
        <f t="shared" si="64"/>
        <v>-297</v>
      </c>
      <c r="N321" s="417">
        <v>4113</v>
      </c>
    </row>
    <row r="322" spans="1:17" outlineLevel="6" x14ac:dyDescent="0.4">
      <c r="A322" s="70">
        <v>10</v>
      </c>
      <c r="B322" s="3">
        <v>300</v>
      </c>
      <c r="C322" s="3">
        <v>0</v>
      </c>
      <c r="D322" s="3">
        <v>1500</v>
      </c>
      <c r="E322" s="3" t="s">
        <v>2287</v>
      </c>
      <c r="F322" s="3">
        <v>200</v>
      </c>
      <c r="G322" s="3" t="s">
        <v>2285</v>
      </c>
      <c r="H322" s="31" t="s">
        <v>2418</v>
      </c>
      <c r="I322" s="32">
        <v>0</v>
      </c>
      <c r="J322" s="32">
        <v>808</v>
      </c>
      <c r="K322" s="40">
        <v>0</v>
      </c>
      <c r="L322" s="40">
        <v>0</v>
      </c>
      <c r="M322" s="451">
        <f t="shared" ref="M322" si="65">N322-K322</f>
        <v>723</v>
      </c>
      <c r="N322" s="417">
        <v>723</v>
      </c>
      <c r="Q322" s="509"/>
    </row>
    <row r="323" spans="1:17" ht="27" outlineLevel="6" thickBot="1" x14ac:dyDescent="0.45">
      <c r="A323" s="70">
        <v>10</v>
      </c>
      <c r="B323" s="3">
        <v>300</v>
      </c>
      <c r="C323" s="3">
        <v>0</v>
      </c>
      <c r="D323" s="3">
        <v>1500</v>
      </c>
      <c r="E323" s="3">
        <v>600</v>
      </c>
      <c r="F323" s="3">
        <v>0</v>
      </c>
      <c r="G323" s="3">
        <v>0</v>
      </c>
      <c r="H323" s="31" t="s">
        <v>208</v>
      </c>
      <c r="I323" s="32">
        <v>0</v>
      </c>
      <c r="J323" s="32">
        <v>222</v>
      </c>
      <c r="K323" s="40">
        <v>300</v>
      </c>
      <c r="L323" s="40">
        <v>300</v>
      </c>
      <c r="M323" s="451">
        <f t="shared" si="64"/>
        <v>0</v>
      </c>
      <c r="N323" s="417">
        <v>300</v>
      </c>
      <c r="Q323" s="509"/>
    </row>
    <row r="324" spans="1:17" ht="27" outlineLevel="5" thickBot="1" x14ac:dyDescent="0.45">
      <c r="A324" s="71"/>
      <c r="B324" s="6"/>
      <c r="C324" s="6"/>
      <c r="D324" s="9" t="s">
        <v>209</v>
      </c>
      <c r="E324" s="6"/>
      <c r="F324" s="6"/>
      <c r="G324" s="6"/>
      <c r="H324" s="41"/>
      <c r="I324" s="42">
        <f>SUBTOTAL(9,I315:I323)</f>
        <v>57023</v>
      </c>
      <c r="J324" s="42">
        <f>SUBTOTAL(9,J315:J323)</f>
        <v>39552</v>
      </c>
      <c r="K324" s="43">
        <f>SUBTOTAL(9,K315:K323)</f>
        <v>37317</v>
      </c>
      <c r="L324" s="43">
        <f>SUBTOTAL(9,L315:L323)</f>
        <v>33865</v>
      </c>
      <c r="M324" s="453">
        <f>N324-K324</f>
        <v>-2704</v>
      </c>
      <c r="N324" s="237">
        <f>SUBTOTAL(9,N315:N323)</f>
        <v>34613</v>
      </c>
    </row>
    <row r="325" spans="1:17" outlineLevel="6" x14ac:dyDescent="0.4">
      <c r="A325" s="70">
        <v>10</v>
      </c>
      <c r="B325" s="3">
        <v>300</v>
      </c>
      <c r="C325" s="3">
        <v>0</v>
      </c>
      <c r="D325" s="3">
        <v>1800</v>
      </c>
      <c r="E325" s="3">
        <v>110</v>
      </c>
      <c r="F325" s="3">
        <v>210</v>
      </c>
      <c r="G325" s="3">
        <v>0</v>
      </c>
      <c r="H325" s="31" t="s">
        <v>210</v>
      </c>
      <c r="I325" s="32">
        <v>13730</v>
      </c>
      <c r="J325" s="32">
        <v>14307</v>
      </c>
      <c r="K325" s="40">
        <v>18000</v>
      </c>
      <c r="L325" s="40">
        <v>20000</v>
      </c>
      <c r="M325" s="451">
        <f>N325-K325</f>
        <v>2000</v>
      </c>
      <c r="N325" s="417">
        <v>20000</v>
      </c>
      <c r="Q325" s="509"/>
    </row>
    <row r="326" spans="1:17" outlineLevel="6" x14ac:dyDescent="0.4">
      <c r="A326" s="70">
        <v>10</v>
      </c>
      <c r="B326" s="3">
        <v>300</v>
      </c>
      <c r="C326" s="3">
        <v>0</v>
      </c>
      <c r="D326" s="3">
        <v>1800</v>
      </c>
      <c r="E326" s="3">
        <v>215</v>
      </c>
      <c r="F326" s="3">
        <v>210</v>
      </c>
      <c r="G326" s="3">
        <v>0</v>
      </c>
      <c r="H326" s="31" t="s">
        <v>67</v>
      </c>
      <c r="I326" s="32">
        <v>41</v>
      </c>
      <c r="J326" s="32">
        <v>43</v>
      </c>
      <c r="K326" s="40">
        <v>60</v>
      </c>
      <c r="L326" s="40">
        <v>60</v>
      </c>
      <c r="M326" s="451">
        <f t="shared" ref="M326:M335" si="66">N326-K326</f>
        <v>0</v>
      </c>
      <c r="N326" s="417">
        <v>60</v>
      </c>
    </row>
    <row r="327" spans="1:17" outlineLevel="6" x14ac:dyDescent="0.4">
      <c r="A327" s="70">
        <v>10</v>
      </c>
      <c r="B327" s="3">
        <v>300</v>
      </c>
      <c r="C327" s="3">
        <v>0</v>
      </c>
      <c r="D327" s="3">
        <v>1800</v>
      </c>
      <c r="E327" s="3">
        <v>221</v>
      </c>
      <c r="F327" s="3">
        <v>210</v>
      </c>
      <c r="G327" s="3">
        <v>0</v>
      </c>
      <c r="H327" s="31" t="s">
        <v>211</v>
      </c>
      <c r="I327" s="32">
        <v>199</v>
      </c>
      <c r="J327" s="32">
        <v>187</v>
      </c>
      <c r="K327" s="40">
        <v>290</v>
      </c>
      <c r="L327" s="40">
        <v>290</v>
      </c>
      <c r="M327" s="451">
        <f t="shared" si="66"/>
        <v>0</v>
      </c>
      <c r="N327" s="417">
        <v>290</v>
      </c>
    </row>
    <row r="328" spans="1:17" outlineLevel="6" x14ac:dyDescent="0.4">
      <c r="A328" s="70">
        <v>10</v>
      </c>
      <c r="B328" s="3">
        <v>300</v>
      </c>
      <c r="C328" s="3">
        <v>0</v>
      </c>
      <c r="D328" s="3">
        <v>1800</v>
      </c>
      <c r="E328" s="3">
        <v>230</v>
      </c>
      <c r="F328" s="3">
        <v>210</v>
      </c>
      <c r="G328" s="3">
        <v>0</v>
      </c>
      <c r="H328" s="31" t="s">
        <v>212</v>
      </c>
      <c r="I328" s="32">
        <v>2756</v>
      </c>
      <c r="J328" s="32">
        <v>2894</v>
      </c>
      <c r="K328" s="40">
        <v>4030</v>
      </c>
      <c r="L328" s="40">
        <v>4030</v>
      </c>
      <c r="M328" s="451">
        <f t="shared" si="66"/>
        <v>0</v>
      </c>
      <c r="N328" s="417">
        <v>4030</v>
      </c>
      <c r="Q328" s="509"/>
    </row>
    <row r="329" spans="1:17" outlineLevel="6" x14ac:dyDescent="0.4">
      <c r="A329" s="70">
        <v>10</v>
      </c>
      <c r="B329" s="3">
        <v>300</v>
      </c>
      <c r="C329" s="3">
        <v>0</v>
      </c>
      <c r="D329" s="3">
        <v>1800</v>
      </c>
      <c r="E329" s="3" t="s">
        <v>2275</v>
      </c>
      <c r="F329" s="3" t="s">
        <v>448</v>
      </c>
      <c r="G329" s="3">
        <v>0</v>
      </c>
      <c r="H329" s="31" t="s">
        <v>2274</v>
      </c>
      <c r="I329" s="32">
        <v>0</v>
      </c>
      <c r="J329" s="32">
        <v>300</v>
      </c>
      <c r="K329" s="40">
        <v>0</v>
      </c>
      <c r="L329" s="40">
        <v>0</v>
      </c>
      <c r="M329" s="451">
        <f t="shared" ref="M329" si="67">N329-K329</f>
        <v>0</v>
      </c>
      <c r="N329" s="417">
        <v>0</v>
      </c>
    </row>
    <row r="330" spans="1:17" outlineLevel="6" x14ac:dyDescent="0.4">
      <c r="A330" s="70">
        <v>10</v>
      </c>
      <c r="B330" s="3">
        <v>300</v>
      </c>
      <c r="C330" s="3">
        <v>0</v>
      </c>
      <c r="D330" s="3">
        <v>1800</v>
      </c>
      <c r="E330" s="3">
        <v>339</v>
      </c>
      <c r="F330" s="3">
        <v>0</v>
      </c>
      <c r="G330" s="3">
        <v>0</v>
      </c>
      <c r="H330" s="31" t="s">
        <v>147</v>
      </c>
      <c r="I330" s="32">
        <v>2552</v>
      </c>
      <c r="J330" s="32">
        <v>2865</v>
      </c>
      <c r="K330" s="40">
        <v>4500</v>
      </c>
      <c r="L330" s="40">
        <v>4500</v>
      </c>
      <c r="M330" s="451">
        <f t="shared" si="66"/>
        <v>0</v>
      </c>
      <c r="N330" s="417">
        <v>4500</v>
      </c>
      <c r="Q330" s="509"/>
    </row>
    <row r="331" spans="1:17" outlineLevel="6" x14ac:dyDescent="0.4">
      <c r="A331" s="70">
        <v>10</v>
      </c>
      <c r="B331" s="3">
        <v>300</v>
      </c>
      <c r="C331" s="3">
        <v>0</v>
      </c>
      <c r="D331" s="3">
        <v>1800</v>
      </c>
      <c r="E331" s="3">
        <v>580</v>
      </c>
      <c r="F331" s="3">
        <v>0</v>
      </c>
      <c r="G331" s="3">
        <v>0</v>
      </c>
      <c r="H331" s="31" t="s">
        <v>148</v>
      </c>
      <c r="I331" s="32">
        <v>1893</v>
      </c>
      <c r="J331" s="32">
        <v>2002</v>
      </c>
      <c r="K331" s="40">
        <v>1800</v>
      </c>
      <c r="L331" s="40">
        <v>1800</v>
      </c>
      <c r="M331" s="451">
        <f t="shared" si="66"/>
        <v>0</v>
      </c>
      <c r="N331" s="417">
        <v>1800</v>
      </c>
      <c r="Q331" s="509"/>
    </row>
    <row r="332" spans="1:17" outlineLevel="6" x14ac:dyDescent="0.4">
      <c r="A332" s="70">
        <v>10</v>
      </c>
      <c r="B332" s="3">
        <v>300</v>
      </c>
      <c r="C332" s="3">
        <v>0</v>
      </c>
      <c r="D332" s="3">
        <v>1800</v>
      </c>
      <c r="E332" s="3">
        <v>610</v>
      </c>
      <c r="F332" s="3">
        <v>0</v>
      </c>
      <c r="G332" s="3">
        <v>0</v>
      </c>
      <c r="H332" s="31" t="s">
        <v>213</v>
      </c>
      <c r="I332" s="32">
        <v>1029</v>
      </c>
      <c r="J332" s="32">
        <v>1004</v>
      </c>
      <c r="K332" s="40">
        <v>1000</v>
      </c>
      <c r="L332" s="40">
        <v>1000</v>
      </c>
      <c r="M332" s="451">
        <f t="shared" si="66"/>
        <v>0</v>
      </c>
      <c r="N332" s="417">
        <v>1000</v>
      </c>
    </row>
    <row r="333" spans="1:17" outlineLevel="6" x14ac:dyDescent="0.4">
      <c r="A333" s="70">
        <v>10</v>
      </c>
      <c r="B333" s="3">
        <v>300</v>
      </c>
      <c r="C333" s="3">
        <v>0</v>
      </c>
      <c r="D333" s="3">
        <v>1800</v>
      </c>
      <c r="E333" s="3">
        <v>610</v>
      </c>
      <c r="F333" s="3">
        <v>0</v>
      </c>
      <c r="G333" s="3" t="s">
        <v>1323</v>
      </c>
      <c r="H333" s="31" t="s">
        <v>1365</v>
      </c>
      <c r="I333" s="32">
        <v>0</v>
      </c>
      <c r="J333" s="32">
        <v>2000</v>
      </c>
      <c r="K333" s="40">
        <v>2000</v>
      </c>
      <c r="L333" s="40">
        <v>0</v>
      </c>
      <c r="M333" s="451">
        <f t="shared" si="66"/>
        <v>-2000</v>
      </c>
      <c r="N333" s="417">
        <v>0</v>
      </c>
    </row>
    <row r="334" spans="1:17" outlineLevel="6" x14ac:dyDescent="0.4">
      <c r="A334" s="70">
        <v>10</v>
      </c>
      <c r="B334" s="3">
        <v>300</v>
      </c>
      <c r="C334" s="3">
        <v>0</v>
      </c>
      <c r="D334" s="3">
        <v>1800</v>
      </c>
      <c r="E334" s="3">
        <v>611</v>
      </c>
      <c r="F334" s="3">
        <v>0</v>
      </c>
      <c r="G334" s="3">
        <v>0</v>
      </c>
      <c r="H334" s="31" t="s">
        <v>214</v>
      </c>
      <c r="I334" s="32">
        <v>667</v>
      </c>
      <c r="J334" s="32">
        <v>0</v>
      </c>
      <c r="K334" s="40">
        <v>500</v>
      </c>
      <c r="L334" s="40">
        <v>500</v>
      </c>
      <c r="M334" s="451">
        <f t="shared" si="66"/>
        <v>0</v>
      </c>
      <c r="N334" s="417">
        <v>500</v>
      </c>
      <c r="Q334" s="509"/>
    </row>
    <row r="335" spans="1:17" ht="27" outlineLevel="6" thickBot="1" x14ac:dyDescent="0.45">
      <c r="A335" s="70">
        <v>10</v>
      </c>
      <c r="B335" s="3">
        <v>300</v>
      </c>
      <c r="C335" s="3">
        <v>0</v>
      </c>
      <c r="D335" s="3">
        <v>1800</v>
      </c>
      <c r="E335" s="3">
        <v>810</v>
      </c>
      <c r="F335" s="3">
        <v>0</v>
      </c>
      <c r="G335" s="3">
        <v>0</v>
      </c>
      <c r="H335" s="31" t="s">
        <v>215</v>
      </c>
      <c r="I335" s="32">
        <v>4555</v>
      </c>
      <c r="J335" s="32">
        <v>4773</v>
      </c>
      <c r="K335" s="40">
        <v>7000</v>
      </c>
      <c r="L335" s="40">
        <v>7000</v>
      </c>
      <c r="M335" s="451">
        <f t="shared" si="66"/>
        <v>0</v>
      </c>
      <c r="N335" s="417">
        <v>7000</v>
      </c>
      <c r="Q335" s="509"/>
    </row>
    <row r="336" spans="1:17" ht="27" outlineLevel="5" thickBot="1" x14ac:dyDescent="0.45">
      <c r="A336" s="71"/>
      <c r="B336" s="6"/>
      <c r="C336" s="6"/>
      <c r="D336" s="9" t="s">
        <v>150</v>
      </c>
      <c r="E336" s="6"/>
      <c r="F336" s="6"/>
      <c r="G336" s="6"/>
      <c r="H336" s="41"/>
      <c r="I336" s="42">
        <f>SUBTOTAL(9,I325:I335)</f>
        <v>27422</v>
      </c>
      <c r="J336" s="42">
        <f>SUBTOTAL(9,J325:J335)</f>
        <v>30375</v>
      </c>
      <c r="K336" s="43">
        <f>SUBTOTAL(9,K325:K335)</f>
        <v>39180</v>
      </c>
      <c r="L336" s="43">
        <f>SUBTOTAL(9,L325:L335)</f>
        <v>39180</v>
      </c>
      <c r="M336" s="453">
        <f>N336-K336</f>
        <v>0</v>
      </c>
      <c r="N336" s="237">
        <f>SUBTOTAL(9,N325:N335)</f>
        <v>39180</v>
      </c>
    </row>
    <row r="337" spans="1:17" ht="27" outlineLevel="4" thickBot="1" x14ac:dyDescent="0.45">
      <c r="A337" s="73"/>
      <c r="B337" s="8" t="s">
        <v>159</v>
      </c>
      <c r="C337" s="7"/>
      <c r="D337" s="7"/>
      <c r="E337" s="7"/>
      <c r="F337" s="7"/>
      <c r="G337" s="7"/>
      <c r="H337" s="45"/>
      <c r="I337" s="46">
        <f>SUBTOTAL(9,I219:I335)</f>
        <v>302994</v>
      </c>
      <c r="J337" s="46">
        <f>SUBTOTAL(9,J219:J335)</f>
        <v>316473</v>
      </c>
      <c r="K337" s="47">
        <f>SUBTOTAL(9,K219:K335)</f>
        <v>325710.5</v>
      </c>
      <c r="L337" s="47">
        <f>SUBTOTAL(9,L219:L335)</f>
        <v>247845</v>
      </c>
      <c r="M337" s="454">
        <f>N337-K337</f>
        <v>-82659.5</v>
      </c>
      <c r="N337" s="419">
        <f>SUBTOTAL(9,N219:N335)</f>
        <v>243051</v>
      </c>
    </row>
    <row r="338" spans="1:17" ht="27" outlineLevel="6" thickBot="1" x14ac:dyDescent="0.45">
      <c r="A338" s="70">
        <v>10</v>
      </c>
      <c r="B338" s="3">
        <v>500</v>
      </c>
      <c r="C338" s="3">
        <v>0</v>
      </c>
      <c r="D338" s="3">
        <v>50</v>
      </c>
      <c r="E338" s="3">
        <v>320</v>
      </c>
      <c r="F338" s="3">
        <v>0</v>
      </c>
      <c r="G338" s="3">
        <v>0</v>
      </c>
      <c r="H338" s="31" t="s">
        <v>216</v>
      </c>
      <c r="I338" s="32">
        <v>1375</v>
      </c>
      <c r="J338" s="32">
        <v>0</v>
      </c>
      <c r="K338" s="40">
        <v>5000</v>
      </c>
      <c r="L338" s="40">
        <v>5000</v>
      </c>
      <c r="M338" s="451">
        <f>N338-K338</f>
        <v>0</v>
      </c>
      <c r="N338" s="417">
        <v>5000</v>
      </c>
      <c r="Q338" s="509"/>
    </row>
    <row r="339" spans="1:17" ht="27" outlineLevel="5" thickBot="1" x14ac:dyDescent="0.45">
      <c r="A339" s="71"/>
      <c r="B339" s="6"/>
      <c r="C339" s="6"/>
      <c r="D339" s="9" t="s">
        <v>217</v>
      </c>
      <c r="E339" s="6"/>
      <c r="F339" s="6"/>
      <c r="G339" s="6"/>
      <c r="H339" s="41"/>
      <c r="I339" s="42">
        <f>SUBTOTAL(9,I338:I338)</f>
        <v>1375</v>
      </c>
      <c r="J339" s="42">
        <f>SUBTOTAL(9,J338:J338)</f>
        <v>0</v>
      </c>
      <c r="K339" s="43">
        <f>SUBTOTAL(9,K338:K338)</f>
        <v>5000</v>
      </c>
      <c r="L339" s="43">
        <f>SUBTOTAL(9,L338:L338)</f>
        <v>5000</v>
      </c>
      <c r="M339" s="453">
        <f>N339-K339</f>
        <v>0</v>
      </c>
      <c r="N339" s="237">
        <f>SUBTOTAL(9,N338:N338)</f>
        <v>5000</v>
      </c>
    </row>
    <row r="340" spans="1:17" outlineLevel="6" x14ac:dyDescent="0.4">
      <c r="A340" s="70">
        <v>10</v>
      </c>
      <c r="B340" s="3">
        <v>500</v>
      </c>
      <c r="C340" s="3">
        <v>0</v>
      </c>
      <c r="D340" s="3">
        <v>60</v>
      </c>
      <c r="E340" s="3">
        <v>110</v>
      </c>
      <c r="F340" s="3">
        <v>201</v>
      </c>
      <c r="G340" s="3">
        <v>0</v>
      </c>
      <c r="H340" s="31" t="s">
        <v>218</v>
      </c>
      <c r="I340" s="32">
        <v>55278</v>
      </c>
      <c r="J340" s="32">
        <v>0</v>
      </c>
      <c r="K340" s="348">
        <v>0</v>
      </c>
      <c r="L340" s="346">
        <v>200</v>
      </c>
      <c r="M340" s="451">
        <f>N340-K340</f>
        <v>200</v>
      </c>
      <c r="N340" s="415">
        <v>200</v>
      </c>
      <c r="O340" s="29" t="s">
        <v>1563</v>
      </c>
    </row>
    <row r="341" spans="1:17" outlineLevel="6" x14ac:dyDescent="0.4">
      <c r="A341" s="70" t="s">
        <v>40</v>
      </c>
      <c r="B341" s="3" t="s">
        <v>524</v>
      </c>
      <c r="C341" s="3" t="s">
        <v>448</v>
      </c>
      <c r="D341" s="3" t="s">
        <v>525</v>
      </c>
      <c r="E341" s="3" t="s">
        <v>526</v>
      </c>
      <c r="F341" s="3" t="s">
        <v>527</v>
      </c>
      <c r="G341" s="3" t="s">
        <v>528</v>
      </c>
      <c r="H341" s="31" t="s">
        <v>219</v>
      </c>
      <c r="I341" s="32">
        <v>0</v>
      </c>
      <c r="J341" s="32">
        <v>3639</v>
      </c>
      <c r="K341" s="348">
        <v>0</v>
      </c>
      <c r="L341" s="346">
        <v>0</v>
      </c>
      <c r="M341" s="451">
        <f t="shared" ref="M341:M397" si="68">N341-K341</f>
        <v>0</v>
      </c>
      <c r="N341" s="415">
        <v>0</v>
      </c>
    </row>
    <row r="342" spans="1:17" outlineLevel="6" x14ac:dyDescent="0.4">
      <c r="A342" s="70">
        <v>10</v>
      </c>
      <c r="B342" s="3">
        <v>500</v>
      </c>
      <c r="C342" s="3">
        <v>0</v>
      </c>
      <c r="D342" s="3">
        <v>60</v>
      </c>
      <c r="E342" s="3">
        <v>110</v>
      </c>
      <c r="F342" s="3">
        <v>400</v>
      </c>
      <c r="G342" s="3">
        <v>0</v>
      </c>
      <c r="H342" s="31" t="s">
        <v>220</v>
      </c>
      <c r="I342" s="32">
        <v>3340</v>
      </c>
      <c r="J342" s="32">
        <v>12349</v>
      </c>
      <c r="K342" s="348">
        <f>17280-8000+7967-7967+400</f>
        <v>9680</v>
      </c>
      <c r="L342" s="346">
        <f>5500+10563+20777+13563-16063+120+18236</f>
        <v>52696</v>
      </c>
      <c r="M342" s="451">
        <f t="shared" si="68"/>
        <v>64399</v>
      </c>
      <c r="N342" s="415">
        <f>52696+7875+13244+264</f>
        <v>74079</v>
      </c>
      <c r="O342" s="29" t="s">
        <v>2387</v>
      </c>
    </row>
    <row r="343" spans="1:17" outlineLevel="6" x14ac:dyDescent="0.4">
      <c r="A343" s="70">
        <v>10</v>
      </c>
      <c r="B343" s="3">
        <v>500</v>
      </c>
      <c r="C343" s="3">
        <v>0</v>
      </c>
      <c r="D343" s="3">
        <v>60</v>
      </c>
      <c r="E343" s="3">
        <v>120</v>
      </c>
      <c r="F343" s="3">
        <v>204</v>
      </c>
      <c r="G343" s="3">
        <v>0</v>
      </c>
      <c r="H343" s="31" t="s">
        <v>221</v>
      </c>
      <c r="I343" s="32">
        <v>4648</v>
      </c>
      <c r="J343" s="32">
        <v>375</v>
      </c>
      <c r="K343" s="348">
        <v>6000</v>
      </c>
      <c r="L343" s="346">
        <v>6000</v>
      </c>
      <c r="M343" s="451">
        <f t="shared" si="68"/>
        <v>0</v>
      </c>
      <c r="N343" s="415">
        <v>6000</v>
      </c>
      <c r="Q343" s="509"/>
    </row>
    <row r="344" spans="1:17" outlineLevel="6" x14ac:dyDescent="0.4">
      <c r="A344" s="70">
        <v>10</v>
      </c>
      <c r="B344" s="3">
        <v>500</v>
      </c>
      <c r="C344" s="3">
        <v>0</v>
      </c>
      <c r="D344" s="3">
        <v>60</v>
      </c>
      <c r="E344" s="3" t="s">
        <v>1275</v>
      </c>
      <c r="F344" s="3" t="s">
        <v>494</v>
      </c>
      <c r="G344" s="3" t="s">
        <v>2351</v>
      </c>
      <c r="H344" s="31" t="s">
        <v>2369</v>
      </c>
      <c r="I344" s="32">
        <v>0</v>
      </c>
      <c r="J344" s="32">
        <v>0</v>
      </c>
      <c r="K344" s="348">
        <v>0</v>
      </c>
      <c r="L344" s="346">
        <v>0</v>
      </c>
      <c r="M344" s="451">
        <f t="shared" ref="M344" si="69">N344-K344</f>
        <v>1400</v>
      </c>
      <c r="N344" s="415">
        <v>1400</v>
      </c>
    </row>
    <row r="345" spans="1:17" outlineLevel="6" x14ac:dyDescent="0.4">
      <c r="A345" s="70">
        <v>10</v>
      </c>
      <c r="B345" s="3">
        <v>500</v>
      </c>
      <c r="C345" s="3">
        <v>0</v>
      </c>
      <c r="D345" s="3">
        <v>60</v>
      </c>
      <c r="E345" s="3" t="s">
        <v>1275</v>
      </c>
      <c r="F345" s="3" t="s">
        <v>527</v>
      </c>
      <c r="G345" s="3" t="s">
        <v>1282</v>
      </c>
      <c r="H345" s="31" t="s">
        <v>2301</v>
      </c>
      <c r="I345" s="32">
        <v>0</v>
      </c>
      <c r="J345" s="32">
        <v>15533</v>
      </c>
      <c r="K345" s="348">
        <v>12920</v>
      </c>
      <c r="L345" s="346">
        <v>12893</v>
      </c>
      <c r="M345" s="451">
        <f t="shared" si="68"/>
        <v>3641</v>
      </c>
      <c r="N345" s="415">
        <f>9371+1500+5690</f>
        <v>16561</v>
      </c>
    </row>
    <row r="346" spans="1:17" outlineLevel="6" x14ac:dyDescent="0.4">
      <c r="A346" s="70" t="s">
        <v>40</v>
      </c>
      <c r="B346" s="3" t="s">
        <v>605</v>
      </c>
      <c r="C346" s="3" t="s">
        <v>448</v>
      </c>
      <c r="D346" s="3" t="s">
        <v>525</v>
      </c>
      <c r="E346" s="3" t="s">
        <v>1275</v>
      </c>
      <c r="F346" s="3" t="s">
        <v>451</v>
      </c>
      <c r="G346" s="3" t="s">
        <v>621</v>
      </c>
      <c r="H346" s="31" t="s">
        <v>1276</v>
      </c>
      <c r="I346" s="32">
        <v>0</v>
      </c>
      <c r="J346" s="32">
        <v>4785</v>
      </c>
      <c r="K346" s="346">
        <v>4785</v>
      </c>
      <c r="L346" s="346">
        <v>0</v>
      </c>
      <c r="M346" s="451">
        <f t="shared" si="68"/>
        <v>-4785</v>
      </c>
      <c r="N346" s="414">
        <v>0</v>
      </c>
      <c r="Q346" s="509"/>
    </row>
    <row r="347" spans="1:17" outlineLevel="6" x14ac:dyDescent="0.4">
      <c r="A347" s="70">
        <v>10</v>
      </c>
      <c r="B347" s="3">
        <v>500</v>
      </c>
      <c r="C347" s="3">
        <v>0</v>
      </c>
      <c r="D347" s="3">
        <v>60</v>
      </c>
      <c r="E347" s="3">
        <v>210</v>
      </c>
      <c r="F347" s="3">
        <v>201</v>
      </c>
      <c r="G347" s="3">
        <v>0</v>
      </c>
      <c r="H347" s="31" t="s">
        <v>222</v>
      </c>
      <c r="I347" s="32">
        <v>69</v>
      </c>
      <c r="J347" s="32">
        <v>0</v>
      </c>
      <c r="K347" s="346">
        <v>0</v>
      </c>
      <c r="L347" s="346">
        <v>66</v>
      </c>
      <c r="M347" s="451">
        <f t="shared" si="68"/>
        <v>66</v>
      </c>
      <c r="N347" s="414">
        <v>66</v>
      </c>
      <c r="O347" s="29" t="s">
        <v>1532</v>
      </c>
    </row>
    <row r="348" spans="1:17" outlineLevel="6" x14ac:dyDescent="0.4">
      <c r="A348" s="70">
        <v>10</v>
      </c>
      <c r="B348" s="3">
        <v>500</v>
      </c>
      <c r="C348" s="3">
        <v>0</v>
      </c>
      <c r="D348" s="3">
        <v>60</v>
      </c>
      <c r="E348" s="3">
        <v>210</v>
      </c>
      <c r="F348" s="3">
        <v>400</v>
      </c>
      <c r="G348" s="3">
        <v>0</v>
      </c>
      <c r="H348" s="31" t="s">
        <v>223</v>
      </c>
      <c r="I348" s="32">
        <v>11</v>
      </c>
      <c r="J348" s="32">
        <v>57</v>
      </c>
      <c r="K348" s="346">
        <v>66</v>
      </c>
      <c r="L348" s="346">
        <v>172</v>
      </c>
      <c r="M348" s="451">
        <f t="shared" si="68"/>
        <v>177</v>
      </c>
      <c r="N348" s="414">
        <f>172+71</f>
        <v>243</v>
      </c>
    </row>
    <row r="349" spans="1:17" outlineLevel="6" x14ac:dyDescent="0.4">
      <c r="A349" s="70">
        <v>10</v>
      </c>
      <c r="B349" s="3">
        <v>500</v>
      </c>
      <c r="C349" s="3">
        <v>0</v>
      </c>
      <c r="D349" s="3">
        <v>60</v>
      </c>
      <c r="E349" s="3">
        <v>212</v>
      </c>
      <c r="F349" s="3">
        <v>204</v>
      </c>
      <c r="G349" s="3">
        <v>0</v>
      </c>
      <c r="H349" s="31" t="s">
        <v>224</v>
      </c>
      <c r="I349" s="32">
        <v>639</v>
      </c>
      <c r="J349" s="32">
        <v>606</v>
      </c>
      <c r="K349" s="346">
        <v>700</v>
      </c>
      <c r="L349" s="346">
        <v>700</v>
      </c>
      <c r="M349" s="451">
        <f t="shared" si="68"/>
        <v>0</v>
      </c>
      <c r="N349" s="414">
        <v>700</v>
      </c>
    </row>
    <row r="350" spans="1:17" outlineLevel="6" x14ac:dyDescent="0.4">
      <c r="A350" s="70">
        <v>10</v>
      </c>
      <c r="B350" s="3">
        <v>500</v>
      </c>
      <c r="C350" s="3">
        <v>0</v>
      </c>
      <c r="D350" s="3">
        <v>60</v>
      </c>
      <c r="E350" s="3">
        <v>215</v>
      </c>
      <c r="F350" s="3">
        <v>201</v>
      </c>
      <c r="G350" s="3">
        <v>0</v>
      </c>
      <c r="H350" s="31" t="s">
        <v>67</v>
      </c>
      <c r="I350" s="32">
        <v>244</v>
      </c>
      <c r="J350" s="32">
        <v>0</v>
      </c>
      <c r="K350" s="346">
        <v>0</v>
      </c>
      <c r="L350" s="346">
        <v>128</v>
      </c>
      <c r="M350" s="451">
        <f t="shared" si="68"/>
        <v>128</v>
      </c>
      <c r="N350" s="414">
        <v>128</v>
      </c>
    </row>
    <row r="351" spans="1:17" outlineLevel="6" x14ac:dyDescent="0.4">
      <c r="A351" s="70">
        <v>10</v>
      </c>
      <c r="B351" s="3">
        <v>500</v>
      </c>
      <c r="C351" s="3">
        <v>0</v>
      </c>
      <c r="D351" s="3">
        <v>60</v>
      </c>
      <c r="E351" s="3">
        <v>215</v>
      </c>
      <c r="F351" s="3" t="s">
        <v>494</v>
      </c>
      <c r="G351" s="3" t="s">
        <v>2351</v>
      </c>
      <c r="H351" s="31" t="s">
        <v>2370</v>
      </c>
      <c r="I351" s="32">
        <v>0</v>
      </c>
      <c r="J351" s="32">
        <v>0</v>
      </c>
      <c r="K351" s="346">
        <v>0</v>
      </c>
      <c r="L351" s="346">
        <v>0</v>
      </c>
      <c r="M351" s="451">
        <f t="shared" ref="M351" si="70">N351-K351</f>
        <v>4</v>
      </c>
      <c r="N351" s="414">
        <v>4</v>
      </c>
    </row>
    <row r="352" spans="1:17" outlineLevel="6" x14ac:dyDescent="0.4">
      <c r="A352" s="70">
        <v>10</v>
      </c>
      <c r="B352" s="3">
        <v>500</v>
      </c>
      <c r="C352" s="3">
        <v>0</v>
      </c>
      <c r="D352" s="3">
        <v>60</v>
      </c>
      <c r="E352" s="3">
        <v>215</v>
      </c>
      <c r="F352" s="3">
        <v>201</v>
      </c>
      <c r="G352" s="3" t="s">
        <v>1282</v>
      </c>
      <c r="H352" s="31" t="s">
        <v>2302</v>
      </c>
      <c r="I352" s="32">
        <v>0</v>
      </c>
      <c r="J352" s="32">
        <v>46</v>
      </c>
      <c r="K352" s="346">
        <v>39</v>
      </c>
      <c r="L352" s="346">
        <v>39</v>
      </c>
      <c r="M352" s="451">
        <f t="shared" si="68"/>
        <v>10</v>
      </c>
      <c r="N352" s="414">
        <f>28+4+17</f>
        <v>49</v>
      </c>
    </row>
    <row r="353" spans="1:14" outlineLevel="6" x14ac:dyDescent="0.4">
      <c r="A353" s="70">
        <v>10</v>
      </c>
      <c r="B353" s="3">
        <v>509</v>
      </c>
      <c r="C353" s="3">
        <v>0</v>
      </c>
      <c r="D353" s="3" t="s">
        <v>525</v>
      </c>
      <c r="E353" s="3">
        <v>215</v>
      </c>
      <c r="F353" s="3">
        <v>200</v>
      </c>
      <c r="G353" s="3" t="s">
        <v>621</v>
      </c>
      <c r="H353" s="31" t="s">
        <v>1279</v>
      </c>
      <c r="I353" s="32">
        <v>0</v>
      </c>
      <c r="J353" s="32">
        <v>14</v>
      </c>
      <c r="K353" s="346">
        <v>14</v>
      </c>
      <c r="L353" s="346">
        <v>0</v>
      </c>
      <c r="M353" s="451">
        <f t="shared" si="68"/>
        <v>-14</v>
      </c>
      <c r="N353" s="414">
        <v>0</v>
      </c>
    </row>
    <row r="354" spans="1:14" outlineLevel="6" x14ac:dyDescent="0.4">
      <c r="A354" s="70">
        <v>10</v>
      </c>
      <c r="B354" s="3">
        <v>500</v>
      </c>
      <c r="C354" s="3">
        <v>0</v>
      </c>
      <c r="D354" s="3">
        <v>60</v>
      </c>
      <c r="E354" s="3">
        <v>215</v>
      </c>
      <c r="F354" s="3">
        <v>204</v>
      </c>
      <c r="G354" s="3">
        <v>0</v>
      </c>
      <c r="H354" s="31" t="s">
        <v>1117</v>
      </c>
      <c r="I354" s="32">
        <v>14</v>
      </c>
      <c r="J354" s="32">
        <v>1</v>
      </c>
      <c r="K354" s="346">
        <v>18</v>
      </c>
      <c r="L354" s="346">
        <v>18</v>
      </c>
      <c r="M354" s="451">
        <f t="shared" si="68"/>
        <v>0</v>
      </c>
      <c r="N354" s="414">
        <v>18</v>
      </c>
    </row>
    <row r="355" spans="1:14" outlineLevel="6" x14ac:dyDescent="0.4">
      <c r="A355" s="70">
        <v>10</v>
      </c>
      <c r="B355" s="3">
        <v>500</v>
      </c>
      <c r="C355" s="3">
        <v>0</v>
      </c>
      <c r="D355" s="3">
        <v>60</v>
      </c>
      <c r="E355" s="3">
        <v>215</v>
      </c>
      <c r="F355" s="3">
        <v>400</v>
      </c>
      <c r="G355" s="3">
        <v>0</v>
      </c>
      <c r="H355" s="31" t="s">
        <v>67</v>
      </c>
      <c r="I355" s="32">
        <v>13</v>
      </c>
      <c r="J355" s="32">
        <v>82</v>
      </c>
      <c r="K355" s="346">
        <f>76+2</f>
        <v>78</v>
      </c>
      <c r="L355" s="346">
        <f>152+55</f>
        <v>207</v>
      </c>
      <c r="M355" s="451">
        <f t="shared" si="68"/>
        <v>145</v>
      </c>
      <c r="N355" s="414">
        <v>223</v>
      </c>
    </row>
    <row r="356" spans="1:14" outlineLevel="6" x14ac:dyDescent="0.4">
      <c r="A356" s="70">
        <v>10</v>
      </c>
      <c r="B356" s="3">
        <v>500</v>
      </c>
      <c r="C356" s="3">
        <v>0</v>
      </c>
      <c r="D356" s="3">
        <v>60</v>
      </c>
      <c r="E356" s="3">
        <v>221</v>
      </c>
      <c r="F356" s="3">
        <v>201</v>
      </c>
      <c r="G356" s="3">
        <v>0</v>
      </c>
      <c r="H356" s="31" t="s">
        <v>226</v>
      </c>
      <c r="I356" s="32">
        <v>1168</v>
      </c>
      <c r="J356" s="32">
        <v>0</v>
      </c>
      <c r="K356" s="346">
        <v>0</v>
      </c>
      <c r="L356" s="346">
        <v>616</v>
      </c>
      <c r="M356" s="451">
        <f t="shared" si="68"/>
        <v>616</v>
      </c>
      <c r="N356" s="414">
        <v>616</v>
      </c>
    </row>
    <row r="357" spans="1:14" outlineLevel="6" x14ac:dyDescent="0.4">
      <c r="A357" s="70">
        <v>10</v>
      </c>
      <c r="B357" s="3">
        <v>500</v>
      </c>
      <c r="C357" s="3">
        <v>0</v>
      </c>
      <c r="D357" s="3">
        <v>60</v>
      </c>
      <c r="E357" s="3">
        <v>221</v>
      </c>
      <c r="F357" s="3" t="s">
        <v>494</v>
      </c>
      <c r="G357" s="3" t="s">
        <v>2351</v>
      </c>
      <c r="H357" s="31" t="s">
        <v>2371</v>
      </c>
      <c r="I357" s="32">
        <v>0</v>
      </c>
      <c r="J357" s="32">
        <v>0</v>
      </c>
      <c r="K357" s="346">
        <v>0</v>
      </c>
      <c r="L357" s="346">
        <v>0</v>
      </c>
      <c r="M357" s="451">
        <f t="shared" ref="M357" si="71">N357-K357</f>
        <v>20</v>
      </c>
      <c r="N357" s="414">
        <v>20</v>
      </c>
    </row>
    <row r="358" spans="1:14" outlineLevel="6" x14ac:dyDescent="0.4">
      <c r="A358" s="70">
        <v>10</v>
      </c>
      <c r="B358" s="3">
        <v>500</v>
      </c>
      <c r="C358" s="3">
        <v>0</v>
      </c>
      <c r="D358" s="3">
        <v>60</v>
      </c>
      <c r="E358" s="3">
        <v>221</v>
      </c>
      <c r="F358" s="3">
        <v>201</v>
      </c>
      <c r="G358" s="3" t="s">
        <v>1282</v>
      </c>
      <c r="H358" s="31" t="s">
        <v>2303</v>
      </c>
      <c r="I358" s="32">
        <v>0</v>
      </c>
      <c r="J358" s="32">
        <v>223</v>
      </c>
      <c r="K358" s="346">
        <v>188</v>
      </c>
      <c r="L358" s="346">
        <v>187</v>
      </c>
      <c r="M358" s="451">
        <f t="shared" si="68"/>
        <v>51</v>
      </c>
      <c r="N358" s="414">
        <f>136+21+82</f>
        <v>239</v>
      </c>
    </row>
    <row r="359" spans="1:14" outlineLevel="6" x14ac:dyDescent="0.4">
      <c r="A359" s="70">
        <v>10</v>
      </c>
      <c r="B359" s="3">
        <v>509</v>
      </c>
      <c r="C359" s="3">
        <v>0</v>
      </c>
      <c r="D359" s="3" t="s">
        <v>525</v>
      </c>
      <c r="E359" s="3">
        <v>221</v>
      </c>
      <c r="F359" s="3">
        <v>200</v>
      </c>
      <c r="G359" s="3" t="s">
        <v>621</v>
      </c>
      <c r="H359" s="31" t="s">
        <v>1278</v>
      </c>
      <c r="I359" s="32">
        <v>0</v>
      </c>
      <c r="J359" s="32">
        <v>66</v>
      </c>
      <c r="K359" s="346">
        <v>69</v>
      </c>
      <c r="L359" s="346">
        <v>0</v>
      </c>
      <c r="M359" s="451">
        <f t="shared" si="68"/>
        <v>-69</v>
      </c>
      <c r="N359" s="414">
        <v>0</v>
      </c>
    </row>
    <row r="360" spans="1:14" outlineLevel="6" x14ac:dyDescent="0.4">
      <c r="A360" s="70">
        <v>10</v>
      </c>
      <c r="B360" s="3">
        <v>500</v>
      </c>
      <c r="C360" s="3">
        <v>0</v>
      </c>
      <c r="D360" s="3">
        <v>60</v>
      </c>
      <c r="E360" s="3">
        <v>221</v>
      </c>
      <c r="F360" s="3">
        <v>204</v>
      </c>
      <c r="G360" s="3">
        <v>0</v>
      </c>
      <c r="H360" s="31" t="s">
        <v>1116</v>
      </c>
      <c r="I360" s="32">
        <v>67</v>
      </c>
      <c r="J360" s="32">
        <v>6</v>
      </c>
      <c r="K360" s="346">
        <v>87</v>
      </c>
      <c r="L360" s="346">
        <v>87</v>
      </c>
      <c r="M360" s="451">
        <f t="shared" si="68"/>
        <v>0</v>
      </c>
      <c r="N360" s="414">
        <v>87</v>
      </c>
    </row>
    <row r="361" spans="1:14" outlineLevel="6" x14ac:dyDescent="0.4">
      <c r="A361" s="70">
        <v>10</v>
      </c>
      <c r="B361" s="3">
        <v>500</v>
      </c>
      <c r="C361" s="3">
        <v>0</v>
      </c>
      <c r="D361" s="3">
        <v>60</v>
      </c>
      <c r="E361" s="3">
        <v>221</v>
      </c>
      <c r="F361" s="3">
        <v>400</v>
      </c>
      <c r="G361" s="3">
        <v>0</v>
      </c>
      <c r="H361" s="31" t="s">
        <v>227</v>
      </c>
      <c r="I361" s="32">
        <v>48</v>
      </c>
      <c r="J361" s="32">
        <v>314</v>
      </c>
      <c r="K361" s="346">
        <f>367+6</f>
        <v>373</v>
      </c>
      <c r="L361" s="346">
        <f>733+265</f>
        <v>998</v>
      </c>
      <c r="M361" s="451">
        <f t="shared" si="68"/>
        <v>702</v>
      </c>
      <c r="N361" s="414">
        <v>1075</v>
      </c>
    </row>
    <row r="362" spans="1:14" outlineLevel="6" x14ac:dyDescent="0.4">
      <c r="A362" s="70" t="s">
        <v>454</v>
      </c>
      <c r="B362" s="3">
        <v>500</v>
      </c>
      <c r="C362" s="3">
        <v>0</v>
      </c>
      <c r="D362" s="3">
        <v>60</v>
      </c>
      <c r="E362" s="3">
        <v>230</v>
      </c>
      <c r="F362" s="3">
        <v>200</v>
      </c>
      <c r="G362" s="3">
        <v>0</v>
      </c>
      <c r="H362" s="31" t="s">
        <v>228</v>
      </c>
      <c r="I362" s="32">
        <v>0</v>
      </c>
      <c r="J362" s="32">
        <v>0</v>
      </c>
      <c r="K362" s="346">
        <v>0</v>
      </c>
      <c r="L362" s="346">
        <v>0</v>
      </c>
      <c r="M362" s="451">
        <f t="shared" si="68"/>
        <v>0</v>
      </c>
      <c r="N362" s="414">
        <v>0</v>
      </c>
    </row>
    <row r="363" spans="1:14" outlineLevel="6" x14ac:dyDescent="0.4">
      <c r="A363" s="70">
        <v>10</v>
      </c>
      <c r="B363" s="3">
        <v>500</v>
      </c>
      <c r="C363" s="3">
        <v>0</v>
      </c>
      <c r="D363" s="3">
        <v>60</v>
      </c>
      <c r="E363" s="3">
        <v>230</v>
      </c>
      <c r="F363" s="3">
        <v>201</v>
      </c>
      <c r="G363" s="3">
        <v>0</v>
      </c>
      <c r="H363" s="31" t="s">
        <v>229</v>
      </c>
      <c r="I363" s="32">
        <v>7165</v>
      </c>
      <c r="J363" s="32">
        <v>0</v>
      </c>
      <c r="K363" s="346">
        <v>0</v>
      </c>
      <c r="L363" s="346">
        <v>8663</v>
      </c>
      <c r="M363" s="451">
        <f t="shared" si="68"/>
        <v>5479</v>
      </c>
      <c r="N363" s="414">
        <v>5479</v>
      </c>
    </row>
    <row r="364" spans="1:14" outlineLevel="6" x14ac:dyDescent="0.4">
      <c r="A364" s="70">
        <v>10</v>
      </c>
      <c r="B364" s="3">
        <v>500</v>
      </c>
      <c r="C364" s="3">
        <v>0</v>
      </c>
      <c r="D364" s="3">
        <v>60</v>
      </c>
      <c r="E364" s="3">
        <v>230</v>
      </c>
      <c r="F364" s="3">
        <v>201</v>
      </c>
      <c r="G364" s="3" t="s">
        <v>528</v>
      </c>
      <c r="H364" s="31" t="s">
        <v>2389</v>
      </c>
      <c r="I364" s="32">
        <v>0</v>
      </c>
      <c r="J364" s="32">
        <v>0</v>
      </c>
      <c r="K364" s="346">
        <v>0</v>
      </c>
      <c r="L364" s="346">
        <v>0</v>
      </c>
      <c r="M364" s="451">
        <f t="shared" ref="M364" si="72">N364-K364</f>
        <v>3184</v>
      </c>
      <c r="N364" s="414">
        <v>3184</v>
      </c>
    </row>
    <row r="365" spans="1:14" outlineLevel="6" x14ac:dyDescent="0.4">
      <c r="A365" s="70">
        <v>10</v>
      </c>
      <c r="B365" s="3">
        <v>500</v>
      </c>
      <c r="C365" s="3">
        <v>0</v>
      </c>
      <c r="D365" s="3">
        <v>60</v>
      </c>
      <c r="E365" s="3">
        <v>230</v>
      </c>
      <c r="F365" s="3" t="s">
        <v>494</v>
      </c>
      <c r="G365" s="3" t="s">
        <v>2351</v>
      </c>
      <c r="H365" s="31" t="s">
        <v>2372</v>
      </c>
      <c r="I365" s="32">
        <v>0</v>
      </c>
      <c r="J365" s="32">
        <v>0</v>
      </c>
      <c r="K365" s="346">
        <v>0</v>
      </c>
      <c r="L365" s="346">
        <v>0</v>
      </c>
      <c r="M365" s="451">
        <f t="shared" ref="M365" si="73">N365-K365</f>
        <v>286</v>
      </c>
      <c r="N365" s="414">
        <v>286</v>
      </c>
    </row>
    <row r="366" spans="1:14" outlineLevel="6" x14ac:dyDescent="0.4">
      <c r="A366" s="70">
        <v>10</v>
      </c>
      <c r="B366" s="3">
        <v>500</v>
      </c>
      <c r="C366" s="3">
        <v>0</v>
      </c>
      <c r="D366" s="3">
        <v>60</v>
      </c>
      <c r="E366" s="3">
        <v>230</v>
      </c>
      <c r="F366" s="3">
        <v>201</v>
      </c>
      <c r="G366" s="3" t="s">
        <v>1282</v>
      </c>
      <c r="H366" s="31" t="s">
        <v>2304</v>
      </c>
      <c r="I366" s="32">
        <v>0</v>
      </c>
      <c r="J366" s="32">
        <v>3095</v>
      </c>
      <c r="K366" s="346">
        <v>2603</v>
      </c>
      <c r="L366" s="346">
        <v>2631</v>
      </c>
      <c r="M366" s="451">
        <f t="shared" si="68"/>
        <v>744</v>
      </c>
      <c r="N366" s="414">
        <f>1911+275+1161</f>
        <v>3347</v>
      </c>
    </row>
    <row r="367" spans="1:14" outlineLevel="6" x14ac:dyDescent="0.4">
      <c r="A367" s="70">
        <v>10</v>
      </c>
      <c r="B367" s="3">
        <v>509</v>
      </c>
      <c r="C367" s="3">
        <v>0</v>
      </c>
      <c r="D367" s="3" t="s">
        <v>525</v>
      </c>
      <c r="E367" s="3">
        <v>230</v>
      </c>
      <c r="F367" s="3">
        <v>200</v>
      </c>
      <c r="G367" s="3" t="s">
        <v>621</v>
      </c>
      <c r="H367" s="31" t="s">
        <v>1280</v>
      </c>
      <c r="I367" s="32">
        <v>0</v>
      </c>
      <c r="J367" s="32">
        <v>914</v>
      </c>
      <c r="K367" s="346">
        <v>964</v>
      </c>
      <c r="L367" s="346">
        <v>0</v>
      </c>
      <c r="M367" s="451">
        <f t="shared" si="68"/>
        <v>-964</v>
      </c>
      <c r="N367" s="414">
        <v>0</v>
      </c>
    </row>
    <row r="368" spans="1:14" outlineLevel="6" x14ac:dyDescent="0.4">
      <c r="A368" s="70">
        <v>10</v>
      </c>
      <c r="B368" s="3">
        <v>500</v>
      </c>
      <c r="C368" s="3">
        <v>0</v>
      </c>
      <c r="D368" s="3">
        <v>60</v>
      </c>
      <c r="E368" s="3">
        <v>230</v>
      </c>
      <c r="F368" s="3">
        <v>204</v>
      </c>
      <c r="G368" s="3">
        <v>0</v>
      </c>
      <c r="H368" s="31" t="s">
        <v>230</v>
      </c>
      <c r="I368" s="32">
        <v>929</v>
      </c>
      <c r="J368" s="32">
        <v>65</v>
      </c>
      <c r="K368" s="346">
        <v>1209</v>
      </c>
      <c r="L368" s="346">
        <v>1224</v>
      </c>
      <c r="M368" s="451">
        <f t="shared" si="68"/>
        <v>15</v>
      </c>
      <c r="N368" s="414">
        <v>1224</v>
      </c>
    </row>
    <row r="369" spans="1:17" outlineLevel="6" x14ac:dyDescent="0.4">
      <c r="A369" s="70">
        <v>10</v>
      </c>
      <c r="B369" s="3">
        <v>500</v>
      </c>
      <c r="C369" s="3">
        <v>0</v>
      </c>
      <c r="D369" s="3">
        <v>60</v>
      </c>
      <c r="E369" s="3">
        <v>230</v>
      </c>
      <c r="F369" s="3">
        <v>400</v>
      </c>
      <c r="G369" s="3">
        <v>0</v>
      </c>
      <c r="H369" s="31" t="s">
        <v>231</v>
      </c>
      <c r="I369" s="32">
        <v>658</v>
      </c>
      <c r="J369" s="32">
        <v>4750</v>
      </c>
      <c r="K369" s="346">
        <v>4688</v>
      </c>
      <c r="L369" s="346">
        <f>9185+3721</f>
        <v>12906</v>
      </c>
      <c r="M369" s="451">
        <f t="shared" si="68"/>
        <v>10425</v>
      </c>
      <c r="N369" s="414">
        <v>15113</v>
      </c>
    </row>
    <row r="370" spans="1:17" outlineLevel="6" x14ac:dyDescent="0.4">
      <c r="A370" s="70">
        <v>10</v>
      </c>
      <c r="B370" s="3">
        <v>500</v>
      </c>
      <c r="C370" s="3">
        <v>0</v>
      </c>
      <c r="D370" s="3">
        <v>60</v>
      </c>
      <c r="E370" s="3">
        <v>250</v>
      </c>
      <c r="F370" s="3">
        <v>201</v>
      </c>
      <c r="G370" s="3">
        <v>0</v>
      </c>
      <c r="H370" s="31" t="s">
        <v>232</v>
      </c>
      <c r="I370" s="32">
        <v>4061</v>
      </c>
      <c r="J370" s="32">
        <v>0</v>
      </c>
      <c r="K370" s="346">
        <v>0</v>
      </c>
      <c r="L370" s="346">
        <v>6132</v>
      </c>
      <c r="M370" s="451">
        <f t="shared" si="68"/>
        <v>1543</v>
      </c>
      <c r="N370" s="414">
        <v>1543</v>
      </c>
      <c r="O370" s="29" t="s">
        <v>2388</v>
      </c>
    </row>
    <row r="371" spans="1:17" outlineLevel="6" x14ac:dyDescent="0.4">
      <c r="A371" s="70">
        <v>10</v>
      </c>
      <c r="B371" s="3">
        <v>500</v>
      </c>
      <c r="C371" s="3">
        <v>0</v>
      </c>
      <c r="D371" s="3">
        <v>60</v>
      </c>
      <c r="E371" s="3">
        <v>250</v>
      </c>
      <c r="F371" s="3">
        <v>201</v>
      </c>
      <c r="G371" s="3" t="s">
        <v>528</v>
      </c>
      <c r="H371" s="31" t="s">
        <v>2390</v>
      </c>
      <c r="I371" s="32">
        <v>1028</v>
      </c>
      <c r="J371" s="32">
        <v>0</v>
      </c>
      <c r="K371" s="346">
        <v>0</v>
      </c>
      <c r="L371" s="346">
        <v>0</v>
      </c>
      <c r="M371" s="451">
        <f t="shared" si="68"/>
        <v>4626</v>
      </c>
      <c r="N371" s="414">
        <v>4626</v>
      </c>
      <c r="O371" s="29" t="s">
        <v>2388</v>
      </c>
    </row>
    <row r="372" spans="1:17" outlineLevel="6" x14ac:dyDescent="0.4">
      <c r="A372" s="70">
        <v>10</v>
      </c>
      <c r="B372" s="3">
        <v>500</v>
      </c>
      <c r="C372" s="3">
        <v>0</v>
      </c>
      <c r="D372" s="3">
        <v>60</v>
      </c>
      <c r="E372" s="3">
        <v>250</v>
      </c>
      <c r="F372" s="3">
        <v>201</v>
      </c>
      <c r="G372" s="3" t="s">
        <v>529</v>
      </c>
      <c r="H372" s="31" t="s">
        <v>232</v>
      </c>
      <c r="I372" s="32">
        <v>880</v>
      </c>
      <c r="J372" s="32">
        <v>0</v>
      </c>
      <c r="K372" s="346">
        <v>0</v>
      </c>
      <c r="L372" s="346">
        <v>0</v>
      </c>
      <c r="M372" s="451">
        <f t="shared" si="68"/>
        <v>0</v>
      </c>
      <c r="N372" s="414">
        <v>0</v>
      </c>
    </row>
    <row r="373" spans="1:17" outlineLevel="6" x14ac:dyDescent="0.4">
      <c r="A373" s="70">
        <v>10</v>
      </c>
      <c r="B373" s="3">
        <v>500</v>
      </c>
      <c r="C373" s="3">
        <v>0</v>
      </c>
      <c r="D373" s="3">
        <v>60</v>
      </c>
      <c r="E373" s="3">
        <v>250</v>
      </c>
      <c r="F373" s="3" t="s">
        <v>558</v>
      </c>
      <c r="G373" s="3" t="s">
        <v>439</v>
      </c>
      <c r="H373" s="31" t="s">
        <v>232</v>
      </c>
      <c r="I373" s="32">
        <v>378</v>
      </c>
      <c r="J373" s="32">
        <v>0</v>
      </c>
      <c r="K373" s="346">
        <v>0</v>
      </c>
      <c r="L373" s="346">
        <v>0</v>
      </c>
      <c r="M373" s="451">
        <f t="shared" si="68"/>
        <v>0</v>
      </c>
      <c r="N373" s="414">
        <v>0</v>
      </c>
    </row>
    <row r="374" spans="1:17" outlineLevel="6" x14ac:dyDescent="0.4">
      <c r="A374" s="70">
        <v>10</v>
      </c>
      <c r="B374" s="3">
        <v>500</v>
      </c>
      <c r="C374" s="3">
        <v>0</v>
      </c>
      <c r="D374" s="3">
        <v>60</v>
      </c>
      <c r="E374" s="3">
        <v>250</v>
      </c>
      <c r="F374" s="3">
        <v>400</v>
      </c>
      <c r="G374" s="3">
        <v>0</v>
      </c>
      <c r="H374" s="31" t="s">
        <v>530</v>
      </c>
      <c r="I374" s="32">
        <v>6</v>
      </c>
      <c r="J374" s="32">
        <v>3376</v>
      </c>
      <c r="K374" s="346">
        <v>5879</v>
      </c>
      <c r="L374" s="346">
        <f>9812+6132</f>
        <v>15944</v>
      </c>
      <c r="M374" s="451">
        <f t="shared" si="68"/>
        <v>12148</v>
      </c>
      <c r="N374" s="414">
        <f>15944+2083</f>
        <v>18027</v>
      </c>
    </row>
    <row r="375" spans="1:17" outlineLevel="6" x14ac:dyDescent="0.4">
      <c r="A375" s="70">
        <v>10</v>
      </c>
      <c r="B375" s="3">
        <v>500</v>
      </c>
      <c r="C375" s="3">
        <v>0</v>
      </c>
      <c r="D375" s="3">
        <v>60</v>
      </c>
      <c r="E375" s="3" t="s">
        <v>2287</v>
      </c>
      <c r="F375" s="3" t="s">
        <v>558</v>
      </c>
      <c r="G375" s="3" t="s">
        <v>2285</v>
      </c>
      <c r="H375" s="31" t="s">
        <v>2419</v>
      </c>
      <c r="I375" s="32">
        <v>0</v>
      </c>
      <c r="J375" s="32">
        <v>29</v>
      </c>
      <c r="K375" s="346">
        <v>0</v>
      </c>
      <c r="L375" s="346">
        <v>0</v>
      </c>
      <c r="M375" s="451">
        <f t="shared" ref="M375:M376" si="74">N375-K375</f>
        <v>180</v>
      </c>
      <c r="N375" s="414">
        <v>180</v>
      </c>
    </row>
    <row r="376" spans="1:17" outlineLevel="6" x14ac:dyDescent="0.4">
      <c r="A376" s="70">
        <v>10</v>
      </c>
      <c r="B376" s="3">
        <v>500</v>
      </c>
      <c r="C376" s="3">
        <v>0</v>
      </c>
      <c r="D376" s="3">
        <v>60</v>
      </c>
      <c r="E376" s="3" t="s">
        <v>2287</v>
      </c>
      <c r="F376" s="3">
        <v>400</v>
      </c>
      <c r="G376" s="3" t="s">
        <v>2285</v>
      </c>
      <c r="H376" s="31" t="s">
        <v>2420</v>
      </c>
      <c r="I376" s="32">
        <v>0</v>
      </c>
      <c r="J376" s="32">
        <v>779</v>
      </c>
      <c r="K376" s="346">
        <v>0</v>
      </c>
      <c r="L376" s="346">
        <v>0</v>
      </c>
      <c r="M376" s="451">
        <f t="shared" si="74"/>
        <v>2222</v>
      </c>
      <c r="N376" s="414">
        <v>2222</v>
      </c>
      <c r="Q376" s="509"/>
    </row>
    <row r="377" spans="1:17" outlineLevel="6" x14ac:dyDescent="0.4">
      <c r="A377" s="70">
        <v>10</v>
      </c>
      <c r="B377" s="3">
        <v>500</v>
      </c>
      <c r="C377" s="3">
        <v>0</v>
      </c>
      <c r="D377" s="3">
        <v>60</v>
      </c>
      <c r="E377" s="3" t="s">
        <v>611</v>
      </c>
      <c r="F377" s="3">
        <v>0</v>
      </c>
      <c r="G377" s="3" t="s">
        <v>1282</v>
      </c>
      <c r="H377" s="31" t="s">
        <v>2305</v>
      </c>
      <c r="I377" s="32">
        <v>0</v>
      </c>
      <c r="J377" s="32">
        <v>0</v>
      </c>
      <c r="K377" s="348">
        <v>0</v>
      </c>
      <c r="L377" s="346">
        <v>0</v>
      </c>
      <c r="M377" s="451">
        <f t="shared" ref="M377" si="75">N377-K377</f>
        <v>8584</v>
      </c>
      <c r="N377" s="415">
        <v>8584</v>
      </c>
    </row>
    <row r="378" spans="1:17" outlineLevel="6" x14ac:dyDescent="0.4">
      <c r="A378" s="70">
        <v>10</v>
      </c>
      <c r="B378" s="3">
        <v>500</v>
      </c>
      <c r="C378" s="3">
        <v>0</v>
      </c>
      <c r="D378" s="3">
        <v>60</v>
      </c>
      <c r="E378" s="3">
        <v>320</v>
      </c>
      <c r="F378" s="3">
        <v>0</v>
      </c>
      <c r="G378" s="3">
        <v>0</v>
      </c>
      <c r="H378" s="31" t="s">
        <v>233</v>
      </c>
      <c r="I378" s="32">
        <v>12849</v>
      </c>
      <c r="J378" s="32">
        <v>1000</v>
      </c>
      <c r="K378" s="348">
        <v>1000</v>
      </c>
      <c r="L378" s="346">
        <v>1000</v>
      </c>
      <c r="M378" s="451">
        <f t="shared" si="68"/>
        <v>0</v>
      </c>
      <c r="N378" s="415">
        <v>1000</v>
      </c>
      <c r="Q378" s="509"/>
    </row>
    <row r="379" spans="1:17" outlineLevel="6" x14ac:dyDescent="0.4">
      <c r="A379" s="70">
        <v>10</v>
      </c>
      <c r="B379" s="3">
        <v>500</v>
      </c>
      <c r="C379" s="3">
        <v>0</v>
      </c>
      <c r="D379" s="3">
        <v>60</v>
      </c>
      <c r="E379" s="3">
        <v>431</v>
      </c>
      <c r="F379" s="3">
        <v>0</v>
      </c>
      <c r="G379" s="3">
        <v>0</v>
      </c>
      <c r="H379" s="31" t="s">
        <v>234</v>
      </c>
      <c r="I379" s="32">
        <v>2721</v>
      </c>
      <c r="J379" s="32">
        <v>3690</v>
      </c>
      <c r="K379" s="348">
        <v>4000</v>
      </c>
      <c r="L379" s="346">
        <v>6000</v>
      </c>
      <c r="M379" s="451">
        <f t="shared" si="68"/>
        <v>2000</v>
      </c>
      <c r="N379" s="415">
        <v>6000</v>
      </c>
      <c r="Q379" s="509"/>
    </row>
    <row r="380" spans="1:17" outlineLevel="6" x14ac:dyDescent="0.4">
      <c r="A380" s="70">
        <v>10</v>
      </c>
      <c r="B380" s="3">
        <v>500</v>
      </c>
      <c r="C380" s="3">
        <v>0</v>
      </c>
      <c r="D380" s="3">
        <v>60</v>
      </c>
      <c r="E380" s="3" t="s">
        <v>524</v>
      </c>
      <c r="F380" s="3">
        <v>0</v>
      </c>
      <c r="G380" s="3" t="s">
        <v>1282</v>
      </c>
      <c r="H380" s="31" t="s">
        <v>2306</v>
      </c>
      <c r="I380" s="32">
        <v>0</v>
      </c>
      <c r="J380" s="32">
        <v>0</v>
      </c>
      <c r="K380" s="346">
        <v>0</v>
      </c>
      <c r="L380" s="346">
        <v>0</v>
      </c>
      <c r="M380" s="451">
        <f t="shared" ref="M380" si="76">N380-K380</f>
        <v>505</v>
      </c>
      <c r="N380" s="414">
        <v>505</v>
      </c>
    </row>
    <row r="381" spans="1:17" outlineLevel="6" x14ac:dyDescent="0.4">
      <c r="A381" s="70">
        <v>10</v>
      </c>
      <c r="B381" s="3">
        <v>500</v>
      </c>
      <c r="C381" s="3">
        <v>0</v>
      </c>
      <c r="D381" s="3">
        <v>60</v>
      </c>
      <c r="E381" s="3">
        <v>580</v>
      </c>
      <c r="F381" s="3">
        <v>0</v>
      </c>
      <c r="G381" s="3">
        <v>0</v>
      </c>
      <c r="H381" s="31" t="s">
        <v>235</v>
      </c>
      <c r="I381" s="32">
        <v>4519</v>
      </c>
      <c r="J381" s="32">
        <v>2156</v>
      </c>
      <c r="K381" s="346">
        <v>4000</v>
      </c>
      <c r="L381" s="346">
        <v>4000</v>
      </c>
      <c r="M381" s="451">
        <f t="shared" si="68"/>
        <v>0</v>
      </c>
      <c r="N381" s="414">
        <v>4000</v>
      </c>
    </row>
    <row r="382" spans="1:17" outlineLevel="6" x14ac:dyDescent="0.4">
      <c r="A382" s="70" t="s">
        <v>40</v>
      </c>
      <c r="B382" s="3" t="s">
        <v>524</v>
      </c>
      <c r="C382" s="3" t="s">
        <v>448</v>
      </c>
      <c r="D382" s="3" t="s">
        <v>525</v>
      </c>
      <c r="E382" s="3" t="s">
        <v>531</v>
      </c>
      <c r="F382" s="3" t="s">
        <v>448</v>
      </c>
      <c r="G382" s="3" t="s">
        <v>1221</v>
      </c>
      <c r="H382" s="31" t="s">
        <v>1222</v>
      </c>
      <c r="I382" s="32">
        <v>3896</v>
      </c>
      <c r="J382" s="32">
        <v>0</v>
      </c>
      <c r="K382" s="346"/>
      <c r="L382" s="346">
        <v>0</v>
      </c>
      <c r="M382" s="451">
        <f t="shared" si="68"/>
        <v>0</v>
      </c>
      <c r="N382" s="414"/>
    </row>
    <row r="383" spans="1:17" outlineLevel="6" x14ac:dyDescent="0.4">
      <c r="A383" s="70">
        <v>10</v>
      </c>
      <c r="B383" s="3">
        <v>500</v>
      </c>
      <c r="C383" s="3">
        <v>0</v>
      </c>
      <c r="D383" s="3">
        <v>60</v>
      </c>
      <c r="E383" s="3">
        <v>580</v>
      </c>
      <c r="F383" s="3">
        <v>200</v>
      </c>
      <c r="G383" s="3">
        <v>0</v>
      </c>
      <c r="H383" s="31" t="s">
        <v>236</v>
      </c>
      <c r="I383" s="32">
        <v>1091</v>
      </c>
      <c r="J383" s="32">
        <v>2080</v>
      </c>
      <c r="K383" s="346">
        <v>2000</v>
      </c>
      <c r="L383" s="346">
        <v>2000</v>
      </c>
      <c r="M383" s="451">
        <f t="shared" si="68"/>
        <v>0</v>
      </c>
      <c r="N383" s="414">
        <v>2000</v>
      </c>
    </row>
    <row r="384" spans="1:17" outlineLevel="6" x14ac:dyDescent="0.4">
      <c r="A384" s="70" t="s">
        <v>40</v>
      </c>
      <c r="B384" s="3" t="s">
        <v>524</v>
      </c>
      <c r="C384" s="3" t="s">
        <v>448</v>
      </c>
      <c r="D384" s="3" t="s">
        <v>525</v>
      </c>
      <c r="E384" s="3" t="s">
        <v>531</v>
      </c>
      <c r="F384" s="3" t="s">
        <v>451</v>
      </c>
      <c r="G384" s="3" t="s">
        <v>529</v>
      </c>
      <c r="H384" s="31" t="s">
        <v>324</v>
      </c>
      <c r="I384" s="32">
        <v>0</v>
      </c>
      <c r="J384" s="32">
        <v>0</v>
      </c>
      <c r="K384" s="346">
        <v>0</v>
      </c>
      <c r="L384" s="346">
        <v>0</v>
      </c>
      <c r="M384" s="451">
        <f t="shared" si="68"/>
        <v>0</v>
      </c>
      <c r="N384" s="414">
        <v>0</v>
      </c>
      <c r="Q384" s="509"/>
    </row>
    <row r="385" spans="1:17" outlineLevel="6" x14ac:dyDescent="0.4">
      <c r="A385" s="70">
        <v>10</v>
      </c>
      <c r="B385" s="3">
        <v>500</v>
      </c>
      <c r="C385" s="3">
        <v>0</v>
      </c>
      <c r="D385" s="3">
        <v>60</v>
      </c>
      <c r="E385" s="3">
        <v>600</v>
      </c>
      <c r="F385" s="3">
        <v>0</v>
      </c>
      <c r="G385" s="3">
        <v>0</v>
      </c>
      <c r="H385" s="31" t="s">
        <v>237</v>
      </c>
      <c r="I385" s="32">
        <v>8890</v>
      </c>
      <c r="J385" s="32">
        <v>3010</v>
      </c>
      <c r="K385" s="346">
        <v>4500</v>
      </c>
      <c r="L385" s="346">
        <v>9000</v>
      </c>
      <c r="M385" s="451">
        <f t="shared" si="68"/>
        <v>4500</v>
      </c>
      <c r="N385" s="414">
        <v>9000</v>
      </c>
    </row>
    <row r="386" spans="1:17" outlineLevel="6" x14ac:dyDescent="0.4">
      <c r="A386" s="70">
        <v>10</v>
      </c>
      <c r="B386" s="3">
        <v>500</v>
      </c>
      <c r="C386" s="3">
        <v>0</v>
      </c>
      <c r="D386" s="3">
        <v>60</v>
      </c>
      <c r="E386" s="3">
        <v>600</v>
      </c>
      <c r="F386" s="3">
        <v>0</v>
      </c>
      <c r="G386" s="3" t="s">
        <v>2351</v>
      </c>
      <c r="H386" s="31" t="s">
        <v>2353</v>
      </c>
      <c r="I386" s="32">
        <v>0</v>
      </c>
      <c r="J386" s="32">
        <v>0</v>
      </c>
      <c r="K386" s="346">
        <v>0</v>
      </c>
      <c r="L386" s="346">
        <v>0</v>
      </c>
      <c r="M386" s="451">
        <f t="shared" si="68"/>
        <v>2580</v>
      </c>
      <c r="N386" s="414">
        <v>2580</v>
      </c>
    </row>
    <row r="387" spans="1:17" outlineLevel="6" x14ac:dyDescent="0.4">
      <c r="A387" s="70">
        <v>10</v>
      </c>
      <c r="B387" s="3">
        <v>500</v>
      </c>
      <c r="C387" s="3">
        <v>0</v>
      </c>
      <c r="D387" s="3">
        <v>60</v>
      </c>
      <c r="E387" s="3">
        <v>600</v>
      </c>
      <c r="F387" s="3">
        <v>0</v>
      </c>
      <c r="G387" s="3" t="s">
        <v>1542</v>
      </c>
      <c r="H387" s="31" t="s">
        <v>2380</v>
      </c>
      <c r="I387" s="32">
        <v>0</v>
      </c>
      <c r="J387" s="32">
        <v>0</v>
      </c>
      <c r="K387" s="346">
        <v>0</v>
      </c>
      <c r="L387" s="346">
        <v>0</v>
      </c>
      <c r="M387" s="451">
        <f t="shared" ref="M387" si="77">N387-K387</f>
        <v>7300</v>
      </c>
      <c r="N387" s="414">
        <v>7300</v>
      </c>
    </row>
    <row r="388" spans="1:17" outlineLevel="6" x14ac:dyDescent="0.4">
      <c r="A388" s="70">
        <v>10</v>
      </c>
      <c r="B388" s="3">
        <v>500</v>
      </c>
      <c r="C388" s="3">
        <v>0</v>
      </c>
      <c r="D388" s="3">
        <v>60</v>
      </c>
      <c r="E388" s="3">
        <v>600</v>
      </c>
      <c r="F388" s="3">
        <v>0</v>
      </c>
      <c r="G388" s="3" t="s">
        <v>2329</v>
      </c>
      <c r="H388" s="31" t="s">
        <v>2328</v>
      </c>
      <c r="I388" s="32">
        <v>0</v>
      </c>
      <c r="J388" s="32">
        <v>0</v>
      </c>
      <c r="K388" s="346">
        <v>0</v>
      </c>
      <c r="L388" s="346">
        <v>0</v>
      </c>
      <c r="M388" s="451">
        <f t="shared" ref="M388" si="78">N388-K388</f>
        <v>1500</v>
      </c>
      <c r="N388" s="414">
        <v>1500</v>
      </c>
    </row>
    <row r="389" spans="1:17" outlineLevel="6" x14ac:dyDescent="0.4">
      <c r="A389" s="70">
        <v>10</v>
      </c>
      <c r="B389" s="3">
        <v>500</v>
      </c>
      <c r="C389" s="3">
        <v>0</v>
      </c>
      <c r="D389" s="3">
        <v>60</v>
      </c>
      <c r="E389" s="3">
        <v>600</v>
      </c>
      <c r="F389" s="3">
        <v>0</v>
      </c>
      <c r="G389" s="3" t="s">
        <v>2330</v>
      </c>
      <c r="H389" s="31" t="s">
        <v>2331</v>
      </c>
      <c r="I389" s="32">
        <v>0</v>
      </c>
      <c r="J389" s="32">
        <v>0</v>
      </c>
      <c r="K389" s="346">
        <v>0</v>
      </c>
      <c r="L389" s="346">
        <v>0</v>
      </c>
      <c r="M389" s="451">
        <f t="shared" ref="M389:M390" si="79">N389-K389</f>
        <v>1200</v>
      </c>
      <c r="N389" s="414">
        <v>1200</v>
      </c>
    </row>
    <row r="390" spans="1:17" outlineLevel="6" x14ac:dyDescent="0.4">
      <c r="A390" s="70">
        <v>10</v>
      </c>
      <c r="B390" s="3">
        <v>500</v>
      </c>
      <c r="C390" s="3">
        <v>0</v>
      </c>
      <c r="D390" s="3">
        <v>60</v>
      </c>
      <c r="E390" s="3">
        <v>600</v>
      </c>
      <c r="F390" s="3">
        <v>0</v>
      </c>
      <c r="G390" s="3" t="s">
        <v>2327</v>
      </c>
      <c r="H390" s="31" t="s">
        <v>2332</v>
      </c>
      <c r="I390" s="32">
        <v>0</v>
      </c>
      <c r="J390" s="32">
        <v>0</v>
      </c>
      <c r="K390" s="346">
        <v>0</v>
      </c>
      <c r="L390" s="346">
        <v>0</v>
      </c>
      <c r="M390" s="451">
        <f t="shared" si="79"/>
        <v>1000</v>
      </c>
      <c r="N390" s="414">
        <v>1000</v>
      </c>
    </row>
    <row r="391" spans="1:17" outlineLevel="6" x14ac:dyDescent="0.4">
      <c r="A391" s="70">
        <v>10</v>
      </c>
      <c r="B391" s="3">
        <v>500</v>
      </c>
      <c r="C391" s="3">
        <v>0</v>
      </c>
      <c r="D391" s="3">
        <v>60</v>
      </c>
      <c r="E391" s="3">
        <v>600</v>
      </c>
      <c r="F391" s="3">
        <v>0</v>
      </c>
      <c r="G391" s="3" t="s">
        <v>1282</v>
      </c>
      <c r="H391" s="31" t="s">
        <v>2307</v>
      </c>
      <c r="I391" s="32">
        <v>0</v>
      </c>
      <c r="J391" s="32">
        <v>0</v>
      </c>
      <c r="K391" s="346">
        <v>0</v>
      </c>
      <c r="L391" s="346">
        <v>0</v>
      </c>
      <c r="M391" s="451">
        <f t="shared" ref="M391" si="80">N391-K391</f>
        <v>5087</v>
      </c>
      <c r="N391" s="414">
        <v>5087</v>
      </c>
    </row>
    <row r="392" spans="1:17" outlineLevel="6" x14ac:dyDescent="0.4">
      <c r="A392" s="70">
        <v>10</v>
      </c>
      <c r="B392" s="3">
        <v>500</v>
      </c>
      <c r="C392" s="3">
        <v>0</v>
      </c>
      <c r="D392" s="3">
        <v>60</v>
      </c>
      <c r="E392" s="3">
        <v>600</v>
      </c>
      <c r="F392" s="3">
        <v>0</v>
      </c>
      <c r="G392" s="3" t="s">
        <v>1323</v>
      </c>
      <c r="H392" s="31" t="s">
        <v>1362</v>
      </c>
      <c r="I392" s="32">
        <v>0</v>
      </c>
      <c r="J392" s="32">
        <v>4500</v>
      </c>
      <c r="K392" s="346">
        <v>4500</v>
      </c>
      <c r="L392" s="346">
        <v>0</v>
      </c>
      <c r="M392" s="451">
        <f t="shared" si="68"/>
        <v>2500</v>
      </c>
      <c r="N392" s="414">
        <v>7000</v>
      </c>
    </row>
    <row r="393" spans="1:17" outlineLevel="6" x14ac:dyDescent="0.4">
      <c r="A393" s="70" t="s">
        <v>40</v>
      </c>
      <c r="B393" s="3" t="s">
        <v>605</v>
      </c>
      <c r="C393" s="3" t="s">
        <v>448</v>
      </c>
      <c r="D393" s="3" t="s">
        <v>525</v>
      </c>
      <c r="E393" s="3" t="s">
        <v>535</v>
      </c>
      <c r="F393" s="3">
        <v>0</v>
      </c>
      <c r="G393" s="3" t="s">
        <v>621</v>
      </c>
      <c r="H393" s="31" t="s">
        <v>1277</v>
      </c>
      <c r="I393" s="32">
        <v>0</v>
      </c>
      <c r="J393" s="32">
        <v>500</v>
      </c>
      <c r="K393" s="346">
        <v>690</v>
      </c>
      <c r="L393" s="346">
        <v>0</v>
      </c>
      <c r="M393" s="451">
        <f t="shared" si="68"/>
        <v>-690</v>
      </c>
      <c r="N393" s="414">
        <v>0</v>
      </c>
    </row>
    <row r="394" spans="1:17" outlineLevel="6" x14ac:dyDescent="0.4">
      <c r="A394" s="70" t="s">
        <v>40</v>
      </c>
      <c r="B394" s="3" t="s">
        <v>605</v>
      </c>
      <c r="C394" s="3" t="s">
        <v>448</v>
      </c>
      <c r="D394" s="3" t="s">
        <v>525</v>
      </c>
      <c r="E394" s="3" t="s">
        <v>535</v>
      </c>
      <c r="F394" s="3">
        <v>0</v>
      </c>
      <c r="G394" s="3" t="s">
        <v>621</v>
      </c>
      <c r="H394" s="31" t="s">
        <v>1271</v>
      </c>
      <c r="I394" s="32">
        <v>0</v>
      </c>
      <c r="J394" s="32">
        <v>1240</v>
      </c>
      <c r="K394" s="346">
        <v>1240</v>
      </c>
      <c r="L394" s="346">
        <v>1240</v>
      </c>
      <c r="M394" s="451">
        <f t="shared" si="68"/>
        <v>0</v>
      </c>
      <c r="N394" s="414">
        <v>1240</v>
      </c>
    </row>
    <row r="395" spans="1:17" outlineLevel="6" x14ac:dyDescent="0.4">
      <c r="A395" s="70">
        <v>10</v>
      </c>
      <c r="B395" s="3">
        <v>500</v>
      </c>
      <c r="C395" s="3">
        <v>0</v>
      </c>
      <c r="D395" s="3">
        <v>60</v>
      </c>
      <c r="E395" s="3">
        <v>640</v>
      </c>
      <c r="F395" s="3">
        <v>0</v>
      </c>
      <c r="G395" s="3">
        <v>0</v>
      </c>
      <c r="H395" s="31" t="s">
        <v>238</v>
      </c>
      <c r="I395" s="32">
        <v>996</v>
      </c>
      <c r="J395" s="32">
        <v>297</v>
      </c>
      <c r="K395" s="346">
        <v>1000</v>
      </c>
      <c r="L395" s="346">
        <v>1000</v>
      </c>
      <c r="M395" s="451">
        <f t="shared" si="68"/>
        <v>0</v>
      </c>
      <c r="N395" s="414">
        <v>1000</v>
      </c>
    </row>
    <row r="396" spans="1:17" outlineLevel="6" x14ac:dyDescent="0.4">
      <c r="A396" s="70">
        <v>10</v>
      </c>
      <c r="B396" s="3">
        <v>500</v>
      </c>
      <c r="C396" s="3">
        <v>0</v>
      </c>
      <c r="D396" s="3">
        <v>60</v>
      </c>
      <c r="E396" s="3">
        <v>640</v>
      </c>
      <c r="F396" s="3">
        <v>0</v>
      </c>
      <c r="G396" s="3" t="s">
        <v>1323</v>
      </c>
      <c r="H396" s="31" t="s">
        <v>1351</v>
      </c>
      <c r="I396" s="32">
        <v>0</v>
      </c>
      <c r="J396" s="32">
        <v>1726</v>
      </c>
      <c r="K396" s="346">
        <v>4000</v>
      </c>
      <c r="L396" s="346">
        <v>0</v>
      </c>
      <c r="M396" s="451">
        <f t="shared" si="68"/>
        <v>-3000</v>
      </c>
      <c r="N396" s="414">
        <v>1000</v>
      </c>
      <c r="Q396" s="509"/>
    </row>
    <row r="397" spans="1:17" ht="27" outlineLevel="6" thickBot="1" x14ac:dyDescent="0.45">
      <c r="A397" s="70">
        <v>10</v>
      </c>
      <c r="B397" s="3">
        <v>500</v>
      </c>
      <c r="C397" s="3">
        <v>0</v>
      </c>
      <c r="D397" s="3">
        <v>60</v>
      </c>
      <c r="E397" s="3">
        <v>810</v>
      </c>
      <c r="F397" s="3">
        <v>0</v>
      </c>
      <c r="G397" s="3">
        <v>0</v>
      </c>
      <c r="H397" s="31" t="s">
        <v>239</v>
      </c>
      <c r="I397" s="32">
        <v>1169</v>
      </c>
      <c r="J397" s="32">
        <v>471</v>
      </c>
      <c r="K397" s="346">
        <v>1000</v>
      </c>
      <c r="L397" s="346">
        <v>1000</v>
      </c>
      <c r="M397" s="451">
        <f t="shared" si="68"/>
        <v>0</v>
      </c>
      <c r="N397" s="414">
        <v>1000</v>
      </c>
      <c r="Q397" s="509"/>
    </row>
    <row r="398" spans="1:17" ht="27" outlineLevel="5" thickBot="1" x14ac:dyDescent="0.45">
      <c r="A398" s="71"/>
      <c r="B398" s="6"/>
      <c r="C398" s="6"/>
      <c r="D398" s="9" t="s">
        <v>240</v>
      </c>
      <c r="E398" s="6"/>
      <c r="F398" s="6"/>
      <c r="G398" s="6"/>
      <c r="H398" s="41"/>
      <c r="I398" s="42">
        <f>SUBTOTAL(9,I340:I397)</f>
        <v>116775</v>
      </c>
      <c r="J398" s="42">
        <f>SUBTOTAL(9,J340:J397)</f>
        <v>71774</v>
      </c>
      <c r="K398" s="43">
        <f>SUBTOTAL(9,K340:K397)</f>
        <v>78290</v>
      </c>
      <c r="L398" s="43">
        <f>SUBTOTAL(9,L340:L397)</f>
        <v>147747</v>
      </c>
      <c r="M398" s="453">
        <f>N398-K398</f>
        <v>139645</v>
      </c>
      <c r="N398" s="237">
        <f>SUBTOTAL(9,N340:N397)</f>
        <v>217935</v>
      </c>
    </row>
    <row r="399" spans="1:17" outlineLevel="6" x14ac:dyDescent="0.4">
      <c r="A399" s="70">
        <v>10</v>
      </c>
      <c r="B399" s="3">
        <v>500</v>
      </c>
      <c r="C399" s="3">
        <v>0</v>
      </c>
      <c r="D399" s="3">
        <v>70</v>
      </c>
      <c r="E399" s="3">
        <v>100</v>
      </c>
      <c r="F399" s="3">
        <v>200</v>
      </c>
      <c r="G399" s="3">
        <v>3150</v>
      </c>
      <c r="H399" s="31" t="s">
        <v>562</v>
      </c>
      <c r="I399" s="32">
        <v>2500</v>
      </c>
      <c r="J399" s="32">
        <v>373</v>
      </c>
      <c r="K399" s="346">
        <v>373</v>
      </c>
      <c r="L399" s="141">
        <v>373</v>
      </c>
      <c r="M399" s="451">
        <f>N399-K399</f>
        <v>47</v>
      </c>
      <c r="N399" s="414">
        <v>420</v>
      </c>
      <c r="Q399" s="509"/>
    </row>
    <row r="400" spans="1:17" outlineLevel="6" x14ac:dyDescent="0.4">
      <c r="A400" s="70">
        <v>10</v>
      </c>
      <c r="B400" s="3">
        <v>500</v>
      </c>
      <c r="C400" s="3">
        <v>0</v>
      </c>
      <c r="D400" s="3">
        <v>70</v>
      </c>
      <c r="E400" s="3">
        <v>215</v>
      </c>
      <c r="F400" s="3">
        <v>200</v>
      </c>
      <c r="G400" s="3">
        <v>3150</v>
      </c>
      <c r="H400" s="31" t="s">
        <v>614</v>
      </c>
      <c r="I400" s="32">
        <v>6</v>
      </c>
      <c r="J400" s="32">
        <v>1</v>
      </c>
      <c r="K400" s="346">
        <v>2</v>
      </c>
      <c r="L400" s="141">
        <v>2</v>
      </c>
      <c r="M400" s="451">
        <f t="shared" ref="M400:M406" si="81">N400-K400</f>
        <v>0</v>
      </c>
      <c r="N400" s="414">
        <v>2</v>
      </c>
    </row>
    <row r="401" spans="1:17" outlineLevel="6" x14ac:dyDescent="0.4">
      <c r="A401" s="70">
        <v>10</v>
      </c>
      <c r="B401" s="3">
        <v>500</v>
      </c>
      <c r="C401" s="3">
        <v>0</v>
      </c>
      <c r="D401" s="3">
        <v>70</v>
      </c>
      <c r="E401" s="3">
        <v>221</v>
      </c>
      <c r="F401" s="3">
        <v>200</v>
      </c>
      <c r="G401" s="3">
        <v>3150</v>
      </c>
      <c r="H401" s="31" t="s">
        <v>538</v>
      </c>
      <c r="I401" s="32">
        <v>27</v>
      </c>
      <c r="J401" s="32">
        <v>5</v>
      </c>
      <c r="K401" s="346">
        <v>6</v>
      </c>
      <c r="L401" s="141">
        <v>6</v>
      </c>
      <c r="M401" s="451">
        <f t="shared" si="81"/>
        <v>0</v>
      </c>
      <c r="N401" s="414">
        <v>6</v>
      </c>
    </row>
    <row r="402" spans="1:17" outlineLevel="6" x14ac:dyDescent="0.4">
      <c r="A402" s="70">
        <v>10</v>
      </c>
      <c r="B402" s="3">
        <v>500</v>
      </c>
      <c r="C402" s="3">
        <v>0</v>
      </c>
      <c r="D402" s="3">
        <v>70</v>
      </c>
      <c r="E402" s="3">
        <v>230</v>
      </c>
      <c r="F402" s="3">
        <v>200</v>
      </c>
      <c r="G402" s="3">
        <v>3150</v>
      </c>
      <c r="H402" s="31" t="s">
        <v>582</v>
      </c>
      <c r="I402" s="32">
        <v>383</v>
      </c>
      <c r="J402" s="32">
        <v>75</v>
      </c>
      <c r="K402" s="346">
        <v>76</v>
      </c>
      <c r="L402" s="141">
        <v>76</v>
      </c>
      <c r="M402" s="451">
        <f t="shared" si="81"/>
        <v>10</v>
      </c>
      <c r="N402" s="414">
        <v>86</v>
      </c>
      <c r="Q402" s="509"/>
    </row>
    <row r="403" spans="1:17" outlineLevel="6" x14ac:dyDescent="0.4">
      <c r="A403" s="70">
        <v>10</v>
      </c>
      <c r="B403" s="3">
        <v>500</v>
      </c>
      <c r="C403" s="3">
        <v>0</v>
      </c>
      <c r="D403" s="3">
        <v>70</v>
      </c>
      <c r="E403" s="3" t="s">
        <v>531</v>
      </c>
      <c r="F403" s="3">
        <v>0</v>
      </c>
      <c r="G403" s="3">
        <v>3150</v>
      </c>
      <c r="H403" s="31" t="s">
        <v>2457</v>
      </c>
      <c r="I403" s="32">
        <v>0</v>
      </c>
      <c r="J403" s="32">
        <v>0</v>
      </c>
      <c r="K403" s="346">
        <v>0</v>
      </c>
      <c r="L403" s="141">
        <v>0</v>
      </c>
      <c r="M403" s="451">
        <f t="shared" ref="M403" si="82">N403-K403</f>
        <v>1500</v>
      </c>
      <c r="N403" s="414">
        <v>1500</v>
      </c>
      <c r="Q403" s="509"/>
    </row>
    <row r="404" spans="1:17" outlineLevel="6" x14ac:dyDescent="0.4">
      <c r="A404" s="70">
        <v>10</v>
      </c>
      <c r="B404" s="3">
        <v>500</v>
      </c>
      <c r="C404" s="3">
        <v>0</v>
      </c>
      <c r="D404" s="3">
        <v>70</v>
      </c>
      <c r="E404" s="3">
        <v>581</v>
      </c>
      <c r="F404" s="3">
        <v>0</v>
      </c>
      <c r="G404" s="3">
        <v>3150</v>
      </c>
      <c r="H404" s="31" t="s">
        <v>561</v>
      </c>
      <c r="I404" s="32">
        <v>491</v>
      </c>
      <c r="J404" s="32">
        <v>0</v>
      </c>
      <c r="K404" s="346">
        <v>382</v>
      </c>
      <c r="L404" s="141">
        <v>382</v>
      </c>
      <c r="M404" s="451">
        <f t="shared" si="81"/>
        <v>154</v>
      </c>
      <c r="N404" s="414">
        <v>536</v>
      </c>
      <c r="Q404" s="509"/>
    </row>
    <row r="405" spans="1:17" outlineLevel="6" x14ac:dyDescent="0.4">
      <c r="A405" s="70" t="s">
        <v>40</v>
      </c>
      <c r="B405" s="3" t="s">
        <v>524</v>
      </c>
      <c r="C405" s="3" t="s">
        <v>448</v>
      </c>
      <c r="D405" s="3" t="s">
        <v>532</v>
      </c>
      <c r="E405" s="3" t="s">
        <v>535</v>
      </c>
      <c r="F405" s="3" t="s">
        <v>448</v>
      </c>
      <c r="G405" s="3" t="s">
        <v>536</v>
      </c>
      <c r="H405" s="31" t="s">
        <v>537</v>
      </c>
      <c r="I405" s="32">
        <v>1261</v>
      </c>
      <c r="J405" s="32">
        <v>252</v>
      </c>
      <c r="K405" s="346">
        <v>264</v>
      </c>
      <c r="L405" s="141">
        <v>264</v>
      </c>
      <c r="M405" s="451">
        <f t="shared" si="81"/>
        <v>-164</v>
      </c>
      <c r="N405" s="414">
        <v>100</v>
      </c>
      <c r="Q405" s="509"/>
    </row>
    <row r="406" spans="1:17" ht="27" outlineLevel="6" thickBot="1" x14ac:dyDescent="0.45">
      <c r="A406" s="70" t="s">
        <v>40</v>
      </c>
      <c r="B406" s="3" t="s">
        <v>524</v>
      </c>
      <c r="C406" s="3" t="s">
        <v>448</v>
      </c>
      <c r="D406" s="3" t="s">
        <v>532</v>
      </c>
      <c r="E406" s="3" t="s">
        <v>559</v>
      </c>
      <c r="F406" s="3" t="s">
        <v>448</v>
      </c>
      <c r="G406" s="3" t="s">
        <v>536</v>
      </c>
      <c r="H406" s="31" t="s">
        <v>560</v>
      </c>
      <c r="I406" s="32">
        <v>738</v>
      </c>
      <c r="J406" s="32">
        <v>0</v>
      </c>
      <c r="K406" s="346">
        <v>129</v>
      </c>
      <c r="L406" s="141">
        <v>129</v>
      </c>
      <c r="M406" s="451">
        <f t="shared" si="81"/>
        <v>21</v>
      </c>
      <c r="N406" s="414">
        <v>150</v>
      </c>
      <c r="Q406" s="509"/>
    </row>
    <row r="407" spans="1:17" ht="27" outlineLevel="5" thickBot="1" x14ac:dyDescent="0.45">
      <c r="A407" s="71"/>
      <c r="B407" s="6"/>
      <c r="C407" s="6"/>
      <c r="D407" s="9" t="s">
        <v>241</v>
      </c>
      <c r="E407" s="6"/>
      <c r="F407" s="6"/>
      <c r="G407" s="6"/>
      <c r="H407" s="41"/>
      <c r="I407" s="42">
        <f>SUBTOTAL(9,I399:I406)</f>
        <v>5406</v>
      </c>
      <c r="J407" s="42">
        <f>SUBTOTAL(9,J399:J406)</f>
        <v>706</v>
      </c>
      <c r="K407" s="43">
        <f>SUBTOTAL(9,K399:K406)</f>
        <v>1232</v>
      </c>
      <c r="L407" s="43">
        <f>SUBTOTAL(9,L399:L406)</f>
        <v>1232</v>
      </c>
      <c r="M407" s="453">
        <f>N407-K407</f>
        <v>1568</v>
      </c>
      <c r="N407" s="237">
        <f>SUBTOTAL(9,N399:N406)</f>
        <v>2800</v>
      </c>
    </row>
    <row r="408" spans="1:17" outlineLevel="6" x14ac:dyDescent="0.4">
      <c r="A408" s="70">
        <v>10</v>
      </c>
      <c r="B408" s="3">
        <v>500</v>
      </c>
      <c r="C408" s="3">
        <v>0</v>
      </c>
      <c r="D408" s="3">
        <v>200</v>
      </c>
      <c r="E408" s="3">
        <v>110</v>
      </c>
      <c r="F408" s="3">
        <v>200</v>
      </c>
      <c r="G408" s="3">
        <v>0</v>
      </c>
      <c r="H408" s="31" t="s">
        <v>242</v>
      </c>
      <c r="I408" s="32">
        <v>10071</v>
      </c>
      <c r="J408" s="32">
        <v>26639</v>
      </c>
      <c r="K408" s="147">
        <f>26128+133</f>
        <v>26261</v>
      </c>
      <c r="L408" s="40">
        <f>32805+166</f>
        <v>32971</v>
      </c>
      <c r="M408" s="451">
        <f>N408-K408</f>
        <v>6710</v>
      </c>
      <c r="N408" s="418">
        <v>32971</v>
      </c>
      <c r="O408" s="29" t="s">
        <v>1463</v>
      </c>
    </row>
    <row r="409" spans="1:17" outlineLevel="6" x14ac:dyDescent="0.4">
      <c r="A409" s="70">
        <v>10</v>
      </c>
      <c r="B409" s="3">
        <v>500</v>
      </c>
      <c r="C409" s="3">
        <v>0</v>
      </c>
      <c r="D409" s="3">
        <v>200</v>
      </c>
      <c r="E409" s="3">
        <v>120</v>
      </c>
      <c r="F409" s="3">
        <v>200</v>
      </c>
      <c r="G409" s="3">
        <v>0</v>
      </c>
      <c r="H409" s="31" t="s">
        <v>243</v>
      </c>
      <c r="I409" s="32">
        <v>64</v>
      </c>
      <c r="J409" s="32">
        <v>513</v>
      </c>
      <c r="K409" s="147">
        <v>900</v>
      </c>
      <c r="L409" s="40">
        <v>750</v>
      </c>
      <c r="M409" s="451">
        <f t="shared" ref="M409:M419" si="83">N409-K409</f>
        <v>-150</v>
      </c>
      <c r="N409" s="418">
        <v>750</v>
      </c>
      <c r="Q409" s="509"/>
    </row>
    <row r="410" spans="1:17" outlineLevel="6" x14ac:dyDescent="0.4">
      <c r="A410" s="70">
        <v>10</v>
      </c>
      <c r="B410" s="3">
        <v>500</v>
      </c>
      <c r="C410" s="3">
        <v>0</v>
      </c>
      <c r="D410" s="3">
        <v>200</v>
      </c>
      <c r="E410" s="3">
        <v>210</v>
      </c>
      <c r="F410" s="3">
        <v>200</v>
      </c>
      <c r="G410" s="3">
        <v>0</v>
      </c>
      <c r="H410" s="31" t="s">
        <v>244</v>
      </c>
      <c r="I410" s="32">
        <v>24</v>
      </c>
      <c r="J410" s="32">
        <v>39</v>
      </c>
      <c r="K410" s="40">
        <v>44</v>
      </c>
      <c r="L410" s="40">
        <v>55</v>
      </c>
      <c r="M410" s="451">
        <f t="shared" si="83"/>
        <v>11</v>
      </c>
      <c r="N410" s="417">
        <v>55</v>
      </c>
    </row>
    <row r="411" spans="1:17" outlineLevel="6" x14ac:dyDescent="0.4">
      <c r="A411" s="70">
        <v>10</v>
      </c>
      <c r="B411" s="3">
        <v>500</v>
      </c>
      <c r="C411" s="3">
        <v>0</v>
      </c>
      <c r="D411" s="3">
        <v>200</v>
      </c>
      <c r="E411" s="3">
        <v>215</v>
      </c>
      <c r="F411" s="3">
        <v>200</v>
      </c>
      <c r="G411" s="3">
        <v>0</v>
      </c>
      <c r="H411" s="31" t="s">
        <v>67</v>
      </c>
      <c r="I411" s="32">
        <v>29</v>
      </c>
      <c r="J411" s="32">
        <v>79</v>
      </c>
      <c r="K411" s="40">
        <f>82+1</f>
        <v>83</v>
      </c>
      <c r="L411" s="40">
        <v>102</v>
      </c>
      <c r="M411" s="451">
        <f t="shared" si="83"/>
        <v>19</v>
      </c>
      <c r="N411" s="417">
        <v>102</v>
      </c>
    </row>
    <row r="412" spans="1:17" outlineLevel="6" x14ac:dyDescent="0.4">
      <c r="A412" s="70">
        <v>10</v>
      </c>
      <c r="B412" s="3">
        <v>500</v>
      </c>
      <c r="C412" s="3">
        <v>0</v>
      </c>
      <c r="D412" s="3">
        <v>200</v>
      </c>
      <c r="E412" s="3">
        <v>221</v>
      </c>
      <c r="F412" s="3">
        <v>200</v>
      </c>
      <c r="G412" s="3">
        <v>0</v>
      </c>
      <c r="H412" s="31" t="s">
        <v>245</v>
      </c>
      <c r="I412" s="32">
        <v>142</v>
      </c>
      <c r="J412" s="32">
        <v>383</v>
      </c>
      <c r="K412" s="40">
        <f>392+2</f>
        <v>394</v>
      </c>
      <c r="L412" s="40">
        <v>489</v>
      </c>
      <c r="M412" s="451">
        <f t="shared" si="83"/>
        <v>95</v>
      </c>
      <c r="N412" s="417">
        <v>489</v>
      </c>
    </row>
    <row r="413" spans="1:17" outlineLevel="6" x14ac:dyDescent="0.4">
      <c r="A413" s="70">
        <v>10</v>
      </c>
      <c r="B413" s="3">
        <v>500</v>
      </c>
      <c r="C413" s="3">
        <v>0</v>
      </c>
      <c r="D413" s="3">
        <v>200</v>
      </c>
      <c r="E413" s="3">
        <v>230</v>
      </c>
      <c r="F413" s="3">
        <v>200</v>
      </c>
      <c r="G413" s="3">
        <v>0</v>
      </c>
      <c r="H413" s="31" t="s">
        <v>246</v>
      </c>
      <c r="I413" s="32">
        <v>1926</v>
      </c>
      <c r="J413" s="32">
        <v>5268</v>
      </c>
      <c r="K413" s="40">
        <v>5447</v>
      </c>
      <c r="L413" s="40">
        <v>6880</v>
      </c>
      <c r="M413" s="451">
        <f t="shared" si="83"/>
        <v>1433</v>
      </c>
      <c r="N413" s="417">
        <v>6880</v>
      </c>
    </row>
    <row r="414" spans="1:17" outlineLevel="6" x14ac:dyDescent="0.4">
      <c r="A414" s="70">
        <v>10</v>
      </c>
      <c r="B414" s="3">
        <v>500</v>
      </c>
      <c r="C414" s="3">
        <v>0</v>
      </c>
      <c r="D414" s="3">
        <v>200</v>
      </c>
      <c r="E414" s="3">
        <v>250</v>
      </c>
      <c r="F414" s="3">
        <v>200</v>
      </c>
      <c r="G414" s="3">
        <v>0</v>
      </c>
      <c r="H414" s="31" t="s">
        <v>247</v>
      </c>
      <c r="I414" s="32">
        <v>2094</v>
      </c>
      <c r="J414" s="32">
        <v>3542</v>
      </c>
      <c r="K414" s="40">
        <v>2320</v>
      </c>
      <c r="L414" s="40">
        <v>5110</v>
      </c>
      <c r="M414" s="451">
        <f t="shared" si="83"/>
        <v>2821</v>
      </c>
      <c r="N414" s="417">
        <v>5141</v>
      </c>
    </row>
    <row r="415" spans="1:17" outlineLevel="6" x14ac:dyDescent="0.4">
      <c r="A415" s="70">
        <v>10</v>
      </c>
      <c r="B415" s="3">
        <v>500</v>
      </c>
      <c r="C415" s="3">
        <v>0</v>
      </c>
      <c r="D415" s="3">
        <v>200</v>
      </c>
      <c r="E415" s="3" t="s">
        <v>2287</v>
      </c>
      <c r="F415" s="3">
        <v>200</v>
      </c>
      <c r="G415" s="3" t="s">
        <v>2285</v>
      </c>
      <c r="H415" s="31" t="s">
        <v>2421</v>
      </c>
      <c r="I415" s="32">
        <v>0</v>
      </c>
      <c r="J415" s="32">
        <v>727</v>
      </c>
      <c r="K415" s="40">
        <v>0</v>
      </c>
      <c r="L415" s="40">
        <v>0</v>
      </c>
      <c r="M415" s="451">
        <f t="shared" ref="M415" si="84">N415-K415</f>
        <v>1012</v>
      </c>
      <c r="N415" s="417">
        <v>1012</v>
      </c>
      <c r="Q415" s="509"/>
    </row>
    <row r="416" spans="1:17" outlineLevel="6" x14ac:dyDescent="0.4">
      <c r="A416" s="70">
        <v>10</v>
      </c>
      <c r="B416" s="3">
        <v>500</v>
      </c>
      <c r="C416" s="3">
        <v>0</v>
      </c>
      <c r="D416" s="3">
        <v>200</v>
      </c>
      <c r="E416" s="3">
        <v>600</v>
      </c>
      <c r="F416" s="3">
        <v>0</v>
      </c>
      <c r="G416" s="3">
        <v>0</v>
      </c>
      <c r="H416" s="31" t="s">
        <v>248</v>
      </c>
      <c r="I416" s="32">
        <v>1588</v>
      </c>
      <c r="J416" s="32">
        <v>0</v>
      </c>
      <c r="K416" s="40">
        <v>1000</v>
      </c>
      <c r="L416" s="40">
        <v>1000</v>
      </c>
      <c r="M416" s="451">
        <f t="shared" si="83"/>
        <v>0</v>
      </c>
      <c r="N416" s="417">
        <v>1000</v>
      </c>
    </row>
    <row r="417" spans="1:17" outlineLevel="6" x14ac:dyDescent="0.4">
      <c r="A417" s="70">
        <v>10</v>
      </c>
      <c r="B417" s="3">
        <v>500</v>
      </c>
      <c r="C417" s="3">
        <v>0</v>
      </c>
      <c r="D417" s="3">
        <v>200</v>
      </c>
      <c r="E417" s="3">
        <v>600</v>
      </c>
      <c r="F417" s="3">
        <v>0</v>
      </c>
      <c r="G417" s="3" t="s">
        <v>1258</v>
      </c>
      <c r="H417" s="31" t="s">
        <v>1300</v>
      </c>
      <c r="I417" s="32">
        <v>0</v>
      </c>
      <c r="J417" s="32">
        <v>4000</v>
      </c>
      <c r="K417" s="40">
        <v>4000</v>
      </c>
      <c r="L417" s="40">
        <v>0</v>
      </c>
      <c r="M417" s="451">
        <f t="shared" si="83"/>
        <v>-3000</v>
      </c>
      <c r="N417" s="417">
        <v>1000</v>
      </c>
    </row>
    <row r="418" spans="1:17" outlineLevel="6" x14ac:dyDescent="0.4">
      <c r="A418" s="70">
        <v>10</v>
      </c>
      <c r="B418" s="3">
        <v>500</v>
      </c>
      <c r="C418" s="3">
        <v>0</v>
      </c>
      <c r="D418" s="3">
        <v>200</v>
      </c>
      <c r="E418" s="3">
        <v>600</v>
      </c>
      <c r="F418" s="3">
        <v>0</v>
      </c>
      <c r="G418" s="3" t="s">
        <v>1323</v>
      </c>
      <c r="H418" s="31" t="s">
        <v>1379</v>
      </c>
      <c r="I418" s="32">
        <v>0</v>
      </c>
      <c r="J418" s="32">
        <v>395</v>
      </c>
      <c r="K418" s="40">
        <v>500</v>
      </c>
      <c r="L418" s="40">
        <v>0</v>
      </c>
      <c r="M418" s="451">
        <f t="shared" si="83"/>
        <v>-500</v>
      </c>
      <c r="N418" s="417">
        <v>0</v>
      </c>
    </row>
    <row r="419" spans="1:17" ht="27" outlineLevel="6" thickBot="1" x14ac:dyDescent="0.45">
      <c r="A419" s="70">
        <v>10</v>
      </c>
      <c r="B419" s="3" t="s">
        <v>605</v>
      </c>
      <c r="C419" s="3">
        <v>0</v>
      </c>
      <c r="D419" s="3">
        <v>200</v>
      </c>
      <c r="E419" s="3">
        <v>600</v>
      </c>
      <c r="F419" s="3">
        <v>0</v>
      </c>
      <c r="G419" s="3" t="s">
        <v>621</v>
      </c>
      <c r="H419" s="31" t="s">
        <v>1535</v>
      </c>
      <c r="I419" s="32">
        <v>0</v>
      </c>
      <c r="J419" s="32">
        <v>0</v>
      </c>
      <c r="K419" s="40">
        <v>0</v>
      </c>
      <c r="L419" s="40">
        <v>1200</v>
      </c>
      <c r="M419" s="451">
        <f t="shared" si="83"/>
        <v>1518</v>
      </c>
      <c r="N419" s="417">
        <v>1518</v>
      </c>
      <c r="Q419" s="509"/>
    </row>
    <row r="420" spans="1:17" ht="27" outlineLevel="5" thickBot="1" x14ac:dyDescent="0.45">
      <c r="A420" s="71"/>
      <c r="B420" s="6"/>
      <c r="C420" s="6"/>
      <c r="D420" s="9" t="s">
        <v>151</v>
      </c>
      <c r="E420" s="6"/>
      <c r="F420" s="6"/>
      <c r="G420" s="6"/>
      <c r="H420" s="41"/>
      <c r="I420" s="42">
        <f>SUBTOTAL(9,I408:I419)</f>
        <v>15938</v>
      </c>
      <c r="J420" s="42">
        <f>SUBTOTAL(9,J408:J419)</f>
        <v>41585</v>
      </c>
      <c r="K420" s="43">
        <f>SUBTOTAL(9,K408:K419)</f>
        <v>40949</v>
      </c>
      <c r="L420" s="43">
        <f>SUBTOTAL(9,L408:L419)</f>
        <v>48557</v>
      </c>
      <c r="M420" s="453">
        <f>N420-K420</f>
        <v>9969</v>
      </c>
      <c r="N420" s="237">
        <f>SUBTOTAL(9,N408:N419)</f>
        <v>50918</v>
      </c>
    </row>
    <row r="421" spans="1:17" outlineLevel="6" x14ac:dyDescent="0.4">
      <c r="A421" s="70">
        <v>10</v>
      </c>
      <c r="B421" s="3">
        <v>500</v>
      </c>
      <c r="C421" s="3">
        <v>0</v>
      </c>
      <c r="D421" s="3">
        <v>800</v>
      </c>
      <c r="E421" s="3">
        <v>110</v>
      </c>
      <c r="F421" s="3">
        <v>200</v>
      </c>
      <c r="G421" s="3">
        <v>0</v>
      </c>
      <c r="H421" s="31" t="s">
        <v>249</v>
      </c>
      <c r="I421" s="32">
        <v>28033</v>
      </c>
      <c r="J421" s="32">
        <v>27935</v>
      </c>
      <c r="K421" s="147">
        <f>27915+200</f>
        <v>28115</v>
      </c>
      <c r="L421" s="40">
        <f>18413+28526</f>
        <v>46939</v>
      </c>
      <c r="M421" s="451">
        <f>N421-K421</f>
        <v>22274</v>
      </c>
      <c r="N421" s="418">
        <v>50389</v>
      </c>
      <c r="O421" s="29" t="s">
        <v>1464</v>
      </c>
    </row>
    <row r="422" spans="1:17" outlineLevel="6" x14ac:dyDescent="0.4">
      <c r="A422" s="70">
        <v>10</v>
      </c>
      <c r="B422" s="3">
        <v>500</v>
      </c>
      <c r="C422" s="3">
        <v>0</v>
      </c>
      <c r="D422" s="3">
        <v>800</v>
      </c>
      <c r="E422" s="3">
        <v>120</v>
      </c>
      <c r="F422" s="3">
        <v>200</v>
      </c>
      <c r="G422" s="3">
        <v>0</v>
      </c>
      <c r="H422" s="31" t="s">
        <v>250</v>
      </c>
      <c r="I422" s="32">
        <v>1050</v>
      </c>
      <c r="J422" s="32">
        <v>630</v>
      </c>
      <c r="K422" s="40">
        <v>700</v>
      </c>
      <c r="L422" s="40">
        <v>1150</v>
      </c>
      <c r="M422" s="451">
        <f t="shared" ref="M422:M435" si="85">N422-K422</f>
        <v>550</v>
      </c>
      <c r="N422" s="417">
        <v>1250</v>
      </c>
      <c r="Q422" s="509"/>
    </row>
    <row r="423" spans="1:17" outlineLevel="6" x14ac:dyDescent="0.4">
      <c r="A423" s="70">
        <v>10</v>
      </c>
      <c r="B423" s="3">
        <v>500</v>
      </c>
      <c r="C423" s="3">
        <v>0</v>
      </c>
      <c r="D423" s="3">
        <v>800</v>
      </c>
      <c r="E423" s="3">
        <v>210</v>
      </c>
      <c r="F423" s="3">
        <v>200</v>
      </c>
      <c r="G423" s="3">
        <v>0</v>
      </c>
      <c r="H423" s="31" t="s">
        <v>223</v>
      </c>
      <c r="I423" s="32">
        <v>55</v>
      </c>
      <c r="J423" s="32">
        <v>65</v>
      </c>
      <c r="K423" s="40">
        <v>66</v>
      </c>
      <c r="L423" s="40">
        <v>99</v>
      </c>
      <c r="M423" s="451">
        <f t="shared" si="85"/>
        <v>33</v>
      </c>
      <c r="N423" s="417">
        <v>99</v>
      </c>
    </row>
    <row r="424" spans="1:17" outlineLevel="6" x14ac:dyDescent="0.4">
      <c r="A424" s="70">
        <v>10</v>
      </c>
      <c r="B424" s="3">
        <v>500</v>
      </c>
      <c r="C424" s="3">
        <v>0</v>
      </c>
      <c r="D424" s="3">
        <v>800</v>
      </c>
      <c r="E424" s="3">
        <v>215</v>
      </c>
      <c r="F424" s="3">
        <v>200</v>
      </c>
      <c r="G424" s="3">
        <v>0</v>
      </c>
      <c r="H424" s="31" t="s">
        <v>67</v>
      </c>
      <c r="I424" s="32">
        <v>85</v>
      </c>
      <c r="J424" s="32">
        <v>52</v>
      </c>
      <c r="K424" s="40">
        <f>86+1</f>
        <v>87</v>
      </c>
      <c r="L424" s="40">
        <v>145</v>
      </c>
      <c r="M424" s="451">
        <f t="shared" si="85"/>
        <v>68</v>
      </c>
      <c r="N424" s="417">
        <v>155</v>
      </c>
    </row>
    <row r="425" spans="1:17" outlineLevel="6" x14ac:dyDescent="0.4">
      <c r="A425" s="70">
        <v>10</v>
      </c>
      <c r="B425" s="3">
        <v>500</v>
      </c>
      <c r="C425" s="3">
        <v>0</v>
      </c>
      <c r="D425" s="3">
        <v>800</v>
      </c>
      <c r="E425" s="3">
        <v>221</v>
      </c>
      <c r="F425" s="3">
        <v>200</v>
      </c>
      <c r="G425" s="3">
        <v>0</v>
      </c>
      <c r="H425" s="31" t="s">
        <v>251</v>
      </c>
      <c r="I425" s="32">
        <v>410</v>
      </c>
      <c r="J425" s="32">
        <v>250</v>
      </c>
      <c r="K425" s="40">
        <f>415+3</f>
        <v>418</v>
      </c>
      <c r="L425" s="40">
        <v>698</v>
      </c>
      <c r="M425" s="451">
        <f t="shared" si="85"/>
        <v>331</v>
      </c>
      <c r="N425" s="417">
        <v>749</v>
      </c>
    </row>
    <row r="426" spans="1:17" outlineLevel="6" x14ac:dyDescent="0.4">
      <c r="A426" s="70">
        <v>10</v>
      </c>
      <c r="B426" s="3">
        <v>500</v>
      </c>
      <c r="C426" s="3">
        <v>0</v>
      </c>
      <c r="D426" s="3">
        <v>800</v>
      </c>
      <c r="E426" s="3">
        <v>230</v>
      </c>
      <c r="F426" s="3">
        <v>200</v>
      </c>
      <c r="G426" s="3">
        <v>0</v>
      </c>
      <c r="H426" s="31" t="s">
        <v>252</v>
      </c>
      <c r="I426" s="32">
        <v>5621</v>
      </c>
      <c r="J426" s="32">
        <v>3439</v>
      </c>
      <c r="K426" s="40">
        <v>5766</v>
      </c>
      <c r="L426" s="40">
        <v>9811</v>
      </c>
      <c r="M426" s="451">
        <f t="shared" si="85"/>
        <v>4769</v>
      </c>
      <c r="N426" s="417">
        <v>10535</v>
      </c>
    </row>
    <row r="427" spans="1:17" outlineLevel="6" x14ac:dyDescent="0.4">
      <c r="A427" s="70">
        <v>10</v>
      </c>
      <c r="B427" s="3">
        <v>500</v>
      </c>
      <c r="C427" s="3">
        <v>0</v>
      </c>
      <c r="D427" s="3">
        <v>800</v>
      </c>
      <c r="E427" s="3">
        <v>250</v>
      </c>
      <c r="F427" s="3">
        <v>200</v>
      </c>
      <c r="G427" s="3">
        <v>0</v>
      </c>
      <c r="H427" s="31" t="s">
        <v>253</v>
      </c>
      <c r="I427" s="32">
        <v>4773</v>
      </c>
      <c r="J427" s="32">
        <v>5951</v>
      </c>
      <c r="K427" s="40">
        <v>5879</v>
      </c>
      <c r="L427" s="40">
        <v>9198</v>
      </c>
      <c r="M427" s="451">
        <f t="shared" si="85"/>
        <v>3374</v>
      </c>
      <c r="N427" s="417">
        <v>9253</v>
      </c>
    </row>
    <row r="428" spans="1:17" outlineLevel="6" x14ac:dyDescent="0.4">
      <c r="A428" s="70">
        <v>10</v>
      </c>
      <c r="B428" s="3">
        <v>500</v>
      </c>
      <c r="C428" s="3">
        <v>0</v>
      </c>
      <c r="D428" s="3">
        <v>800</v>
      </c>
      <c r="E428" s="3" t="s">
        <v>2287</v>
      </c>
      <c r="F428" s="3">
        <v>200</v>
      </c>
      <c r="G428" s="3" t="s">
        <v>2285</v>
      </c>
      <c r="H428" s="31" t="s">
        <v>2422</v>
      </c>
      <c r="I428" s="32">
        <v>0</v>
      </c>
      <c r="J428" s="32">
        <v>762</v>
      </c>
      <c r="K428" s="40">
        <v>0</v>
      </c>
      <c r="L428" s="40">
        <v>0</v>
      </c>
      <c r="M428" s="451">
        <f t="shared" ref="M428" si="86">N428-K428</f>
        <v>1549</v>
      </c>
      <c r="N428" s="417">
        <v>1549</v>
      </c>
      <c r="Q428" s="509"/>
    </row>
    <row r="429" spans="1:17" outlineLevel="6" x14ac:dyDescent="0.4">
      <c r="A429" s="70">
        <v>10</v>
      </c>
      <c r="B429" s="3">
        <v>500</v>
      </c>
      <c r="C429" s="3">
        <v>0</v>
      </c>
      <c r="D429" s="3">
        <v>800</v>
      </c>
      <c r="E429" s="3" t="s">
        <v>611</v>
      </c>
      <c r="F429" s="3">
        <v>0</v>
      </c>
      <c r="G429" s="3" t="s">
        <v>1542</v>
      </c>
      <c r="H429" s="31" t="s">
        <v>1544</v>
      </c>
      <c r="I429" s="32">
        <v>0</v>
      </c>
      <c r="J429" s="32">
        <v>0</v>
      </c>
      <c r="K429" s="40">
        <v>0</v>
      </c>
      <c r="L429" s="40">
        <v>500</v>
      </c>
      <c r="M429" s="451">
        <f t="shared" si="85"/>
        <v>0</v>
      </c>
      <c r="N429" s="417">
        <v>0</v>
      </c>
    </row>
    <row r="430" spans="1:17" outlineLevel="6" x14ac:dyDescent="0.4">
      <c r="A430" s="70">
        <v>10</v>
      </c>
      <c r="B430" s="3">
        <v>500</v>
      </c>
      <c r="C430" s="3">
        <v>0</v>
      </c>
      <c r="D430" s="3">
        <v>800</v>
      </c>
      <c r="E430" s="3">
        <v>600</v>
      </c>
      <c r="F430" s="3">
        <v>0</v>
      </c>
      <c r="G430" s="3" t="s">
        <v>1542</v>
      </c>
      <c r="H430" s="31" t="s">
        <v>2381</v>
      </c>
      <c r="I430" s="32">
        <v>0</v>
      </c>
      <c r="J430" s="32">
        <v>0</v>
      </c>
      <c r="K430" s="40">
        <v>0</v>
      </c>
      <c r="L430" s="40">
        <v>0</v>
      </c>
      <c r="M430" s="451">
        <f t="shared" ref="M430" si="87">N430-K430</f>
        <v>300</v>
      </c>
      <c r="N430" s="417">
        <v>300</v>
      </c>
      <c r="Q430" s="509"/>
    </row>
    <row r="431" spans="1:17" outlineLevel="6" x14ac:dyDescent="0.4">
      <c r="A431" s="70">
        <v>10</v>
      </c>
      <c r="B431" s="3">
        <v>500</v>
      </c>
      <c r="C431" s="3">
        <v>0</v>
      </c>
      <c r="D431" s="3">
        <v>800</v>
      </c>
      <c r="E431" s="3">
        <v>735</v>
      </c>
      <c r="F431" s="3">
        <v>0</v>
      </c>
      <c r="G431" s="3">
        <v>0</v>
      </c>
      <c r="H431" s="31" t="s">
        <v>254</v>
      </c>
      <c r="I431" s="32">
        <v>666</v>
      </c>
      <c r="J431" s="32">
        <v>461</v>
      </c>
      <c r="K431" s="40">
        <v>500</v>
      </c>
      <c r="L431" s="40">
        <v>1000</v>
      </c>
      <c r="M431" s="451">
        <f t="shared" si="85"/>
        <v>1000</v>
      </c>
      <c r="N431" s="417">
        <v>1500</v>
      </c>
    </row>
    <row r="432" spans="1:17" outlineLevel="6" x14ac:dyDescent="0.4">
      <c r="A432" s="70">
        <v>10</v>
      </c>
      <c r="B432" s="3">
        <v>500</v>
      </c>
      <c r="C432" s="3">
        <v>0</v>
      </c>
      <c r="D432" s="3">
        <v>800</v>
      </c>
      <c r="E432" s="3">
        <v>735</v>
      </c>
      <c r="F432" s="3">
        <v>0</v>
      </c>
      <c r="G432" s="3" t="s">
        <v>1449</v>
      </c>
      <c r="H432" s="31" t="s">
        <v>1543</v>
      </c>
      <c r="I432" s="32">
        <v>0</v>
      </c>
      <c r="J432" s="32">
        <v>0</v>
      </c>
      <c r="K432" s="40">
        <v>0</v>
      </c>
      <c r="L432" s="40">
        <v>4800</v>
      </c>
      <c r="M432" s="451">
        <f t="shared" si="85"/>
        <v>4800</v>
      </c>
      <c r="N432" s="417">
        <v>4800</v>
      </c>
    </row>
    <row r="433" spans="1:17" outlineLevel="6" x14ac:dyDescent="0.4">
      <c r="A433" s="70">
        <v>10</v>
      </c>
      <c r="B433" s="3">
        <v>500</v>
      </c>
      <c r="C433" s="3">
        <v>0</v>
      </c>
      <c r="D433" s="3">
        <v>800</v>
      </c>
      <c r="E433" s="3">
        <v>735</v>
      </c>
      <c r="F433" s="3">
        <v>0</v>
      </c>
      <c r="G433" s="3" t="s">
        <v>1106</v>
      </c>
      <c r="H433" s="31" t="s">
        <v>2350</v>
      </c>
      <c r="I433" s="32">
        <v>0</v>
      </c>
      <c r="J433" s="32">
        <v>0</v>
      </c>
      <c r="K433" s="40">
        <v>0</v>
      </c>
      <c r="L433" s="40">
        <v>0</v>
      </c>
      <c r="M433" s="451">
        <f t="shared" ref="M433" si="88">N433-K433</f>
        <v>1304</v>
      </c>
      <c r="N433" s="417">
        <v>1304</v>
      </c>
    </row>
    <row r="434" spans="1:17" outlineLevel="6" x14ac:dyDescent="0.4">
      <c r="A434" s="70">
        <v>10</v>
      </c>
      <c r="B434" s="3">
        <v>500</v>
      </c>
      <c r="C434" s="3">
        <v>0</v>
      </c>
      <c r="D434" s="3">
        <v>800</v>
      </c>
      <c r="E434" s="3">
        <v>735</v>
      </c>
      <c r="F434" s="3">
        <v>0</v>
      </c>
      <c r="G434" s="3" t="s">
        <v>1542</v>
      </c>
      <c r="H434" s="31" t="s">
        <v>2367</v>
      </c>
      <c r="I434" s="32">
        <v>0</v>
      </c>
      <c r="J434" s="32">
        <v>0</v>
      </c>
      <c r="K434" s="40">
        <v>0</v>
      </c>
      <c r="L434" s="40">
        <v>3000</v>
      </c>
      <c r="M434" s="451">
        <f t="shared" si="85"/>
        <v>5400</v>
      </c>
      <c r="N434" s="417">
        <v>5400</v>
      </c>
    </row>
    <row r="435" spans="1:17" ht="27" outlineLevel="6" thickBot="1" x14ac:dyDescent="0.45">
      <c r="A435" s="70">
        <v>10</v>
      </c>
      <c r="B435" s="3">
        <v>500</v>
      </c>
      <c r="C435" s="3">
        <v>0</v>
      </c>
      <c r="D435" s="3">
        <v>800</v>
      </c>
      <c r="E435" s="3">
        <v>735</v>
      </c>
      <c r="F435" s="3">
        <v>0</v>
      </c>
      <c r="G435" s="3" t="s">
        <v>1323</v>
      </c>
      <c r="H435" s="31" t="s">
        <v>1363</v>
      </c>
      <c r="I435" s="32">
        <v>0</v>
      </c>
      <c r="J435" s="32">
        <v>536</v>
      </c>
      <c r="K435" s="40">
        <v>500</v>
      </c>
      <c r="L435" s="40">
        <v>0</v>
      </c>
      <c r="M435" s="451">
        <f t="shared" si="85"/>
        <v>-500</v>
      </c>
      <c r="N435" s="417">
        <v>0</v>
      </c>
      <c r="Q435" s="509"/>
    </row>
    <row r="436" spans="1:17" ht="27" outlineLevel="5" thickBot="1" x14ac:dyDescent="0.45">
      <c r="A436" s="71"/>
      <c r="B436" s="6"/>
      <c r="C436" s="6"/>
      <c r="D436" s="9" t="s">
        <v>255</v>
      </c>
      <c r="E436" s="6"/>
      <c r="F436" s="6"/>
      <c r="G436" s="6"/>
      <c r="H436" s="41"/>
      <c r="I436" s="42">
        <f>SUBTOTAL(9,I421:I435)</f>
        <v>40693</v>
      </c>
      <c r="J436" s="42">
        <f>SUBTOTAL(9,J421:J435)</f>
        <v>40081</v>
      </c>
      <c r="K436" s="43">
        <f>SUBTOTAL(9,K421:K435)</f>
        <v>42031</v>
      </c>
      <c r="L436" s="43">
        <f>SUBTOTAL(9,L421:L435)</f>
        <v>77340</v>
      </c>
      <c r="M436" s="453">
        <f>N436-K436</f>
        <v>45252</v>
      </c>
      <c r="N436" s="237">
        <f>SUBTOTAL(9,N421:N435)</f>
        <v>87283</v>
      </c>
    </row>
    <row r="437" spans="1:17" outlineLevel="6" x14ac:dyDescent="0.4">
      <c r="A437" s="70">
        <v>10</v>
      </c>
      <c r="B437" s="3">
        <v>500</v>
      </c>
      <c r="C437" s="3">
        <v>0</v>
      </c>
      <c r="D437" s="3">
        <v>1200</v>
      </c>
      <c r="E437" s="3">
        <v>110</v>
      </c>
      <c r="F437" s="3">
        <v>200</v>
      </c>
      <c r="G437" s="3">
        <v>0</v>
      </c>
      <c r="H437" s="31" t="s">
        <v>256</v>
      </c>
      <c r="I437" s="32">
        <v>17064</v>
      </c>
      <c r="J437" s="32">
        <v>18189</v>
      </c>
      <c r="K437" s="348">
        <f>20968+400</f>
        <v>21368</v>
      </c>
      <c r="L437" s="141">
        <v>30015</v>
      </c>
      <c r="M437" s="451">
        <f>N437-K437</f>
        <v>8647</v>
      </c>
      <c r="N437" s="415">
        <v>30015</v>
      </c>
      <c r="O437" s="29" t="s">
        <v>1465</v>
      </c>
    </row>
    <row r="438" spans="1:17" outlineLevel="6" x14ac:dyDescent="0.4">
      <c r="A438" s="70">
        <v>10</v>
      </c>
      <c r="B438" s="3">
        <v>500</v>
      </c>
      <c r="C438" s="3">
        <v>0</v>
      </c>
      <c r="D438" s="3">
        <v>1200</v>
      </c>
      <c r="E438" s="3">
        <v>120</v>
      </c>
      <c r="F438" s="3">
        <v>200</v>
      </c>
      <c r="G438" s="3">
        <v>0</v>
      </c>
      <c r="H438" s="31" t="s">
        <v>257</v>
      </c>
      <c r="I438" s="32">
        <v>0</v>
      </c>
      <c r="J438" s="32">
        <v>349</v>
      </c>
      <c r="K438" s="346">
        <v>900</v>
      </c>
      <c r="L438" s="141">
        <v>900</v>
      </c>
      <c r="M438" s="451">
        <f t="shared" ref="M438:M446" si="89">N438-K438</f>
        <v>0</v>
      </c>
      <c r="N438" s="414">
        <v>900</v>
      </c>
      <c r="Q438" s="509"/>
    </row>
    <row r="439" spans="1:17" outlineLevel="6" x14ac:dyDescent="0.4">
      <c r="A439" s="70">
        <v>10</v>
      </c>
      <c r="B439" s="3">
        <v>500</v>
      </c>
      <c r="C439" s="3">
        <v>0</v>
      </c>
      <c r="D439" s="3">
        <v>1200</v>
      </c>
      <c r="E439" s="3">
        <v>210</v>
      </c>
      <c r="F439" s="3">
        <v>200</v>
      </c>
      <c r="G439" s="3">
        <v>0</v>
      </c>
      <c r="H439" s="31" t="s">
        <v>258</v>
      </c>
      <c r="I439" s="32">
        <v>14</v>
      </c>
      <c r="J439" s="32">
        <v>12</v>
      </c>
      <c r="K439" s="346">
        <v>12</v>
      </c>
      <c r="L439" s="141">
        <v>66</v>
      </c>
      <c r="M439" s="451">
        <f t="shared" si="89"/>
        <v>54</v>
      </c>
      <c r="N439" s="414">
        <v>66</v>
      </c>
    </row>
    <row r="440" spans="1:17" outlineLevel="6" x14ac:dyDescent="0.4">
      <c r="A440" s="70">
        <v>10</v>
      </c>
      <c r="B440" s="3">
        <v>500</v>
      </c>
      <c r="C440" s="3">
        <v>0</v>
      </c>
      <c r="D440" s="3">
        <v>1200</v>
      </c>
      <c r="E440" s="3">
        <v>215</v>
      </c>
      <c r="F440" s="3">
        <v>200</v>
      </c>
      <c r="G440" s="3">
        <v>0</v>
      </c>
      <c r="H440" s="31" t="s">
        <v>1322</v>
      </c>
      <c r="I440" s="32">
        <v>51</v>
      </c>
      <c r="J440" s="32">
        <v>66</v>
      </c>
      <c r="K440" s="346">
        <f>66+2</f>
        <v>68</v>
      </c>
      <c r="L440" s="141">
        <v>93</v>
      </c>
      <c r="M440" s="451">
        <f t="shared" si="89"/>
        <v>25</v>
      </c>
      <c r="N440" s="414">
        <v>93</v>
      </c>
    </row>
    <row r="441" spans="1:17" outlineLevel="6" x14ac:dyDescent="0.4">
      <c r="A441" s="70">
        <v>10</v>
      </c>
      <c r="B441" s="3">
        <v>500</v>
      </c>
      <c r="C441" s="3">
        <v>0</v>
      </c>
      <c r="D441" s="3">
        <v>1200</v>
      </c>
      <c r="E441" s="3">
        <v>221</v>
      </c>
      <c r="F441" s="3">
        <v>200</v>
      </c>
      <c r="G441" s="3">
        <v>0</v>
      </c>
      <c r="H441" s="31" t="s">
        <v>259</v>
      </c>
      <c r="I441" s="32">
        <v>246</v>
      </c>
      <c r="J441" s="32">
        <v>320</v>
      </c>
      <c r="K441" s="346">
        <f>318+6</f>
        <v>324</v>
      </c>
      <c r="L441" s="141">
        <v>449</v>
      </c>
      <c r="M441" s="451">
        <f t="shared" si="89"/>
        <v>125</v>
      </c>
      <c r="N441" s="414">
        <v>449</v>
      </c>
    </row>
    <row r="442" spans="1:17" outlineLevel="6" x14ac:dyDescent="0.4">
      <c r="A442" s="70">
        <v>10</v>
      </c>
      <c r="B442" s="3">
        <v>500</v>
      </c>
      <c r="C442" s="3">
        <v>0</v>
      </c>
      <c r="D442" s="3">
        <v>1200</v>
      </c>
      <c r="E442" s="3">
        <v>230</v>
      </c>
      <c r="F442" s="3">
        <v>200</v>
      </c>
      <c r="G442" s="3">
        <v>0</v>
      </c>
      <c r="H442" s="31" t="s">
        <v>260</v>
      </c>
      <c r="I442" s="32">
        <v>3279</v>
      </c>
      <c r="J442" s="32">
        <v>4365</v>
      </c>
      <c r="K442" s="346">
        <v>4407</v>
      </c>
      <c r="L442" s="141">
        <v>6307</v>
      </c>
      <c r="M442" s="451">
        <f t="shared" si="89"/>
        <v>1900</v>
      </c>
      <c r="N442" s="414">
        <v>6307</v>
      </c>
    </row>
    <row r="443" spans="1:17" outlineLevel="6" x14ac:dyDescent="0.4">
      <c r="A443" s="70" t="s">
        <v>40</v>
      </c>
      <c r="B443" s="3" t="s">
        <v>524</v>
      </c>
      <c r="C443" s="3" t="s">
        <v>448</v>
      </c>
      <c r="D443" s="3" t="s">
        <v>564</v>
      </c>
      <c r="E443" s="3" t="s">
        <v>450</v>
      </c>
      <c r="F443" s="3" t="s">
        <v>451</v>
      </c>
      <c r="G443" s="3" t="s">
        <v>448</v>
      </c>
      <c r="H443" s="31" t="s">
        <v>563</v>
      </c>
      <c r="I443" s="32">
        <v>1251</v>
      </c>
      <c r="J443" s="32">
        <v>1050</v>
      </c>
      <c r="K443" s="346">
        <v>1037</v>
      </c>
      <c r="L443" s="141">
        <v>6132</v>
      </c>
      <c r="M443" s="451">
        <f t="shared" si="89"/>
        <v>5132</v>
      </c>
      <c r="N443" s="414">
        <v>6169</v>
      </c>
    </row>
    <row r="444" spans="1:17" outlineLevel="6" x14ac:dyDescent="0.4">
      <c r="A444" s="70" t="s">
        <v>40</v>
      </c>
      <c r="B444" s="3" t="s">
        <v>524</v>
      </c>
      <c r="C444" s="3" t="s">
        <v>448</v>
      </c>
      <c r="D444" s="3" t="s">
        <v>564</v>
      </c>
      <c r="E444" s="3" t="s">
        <v>2287</v>
      </c>
      <c r="F444" s="3" t="s">
        <v>451</v>
      </c>
      <c r="G444" s="3" t="s">
        <v>2285</v>
      </c>
      <c r="H444" s="31" t="s">
        <v>2423</v>
      </c>
      <c r="I444" s="32">
        <v>0</v>
      </c>
      <c r="J444" s="32">
        <v>662</v>
      </c>
      <c r="K444" s="346">
        <v>0</v>
      </c>
      <c r="L444" s="141">
        <v>0</v>
      </c>
      <c r="M444" s="451">
        <f t="shared" ref="M444" si="90">N444-K444</f>
        <v>927</v>
      </c>
      <c r="N444" s="414">
        <v>927</v>
      </c>
      <c r="Q444" s="509"/>
    </row>
    <row r="445" spans="1:17" outlineLevel="6" x14ac:dyDescent="0.4">
      <c r="A445" s="70">
        <v>10</v>
      </c>
      <c r="B445" s="3">
        <v>500</v>
      </c>
      <c r="C445" s="3">
        <v>0</v>
      </c>
      <c r="D445" s="3">
        <v>1200</v>
      </c>
      <c r="E445" s="3">
        <v>600</v>
      </c>
      <c r="F445" s="3">
        <v>0</v>
      </c>
      <c r="G445" s="3">
        <v>0</v>
      </c>
      <c r="H445" s="31" t="s">
        <v>261</v>
      </c>
      <c r="I445" s="32">
        <v>606</v>
      </c>
      <c r="J445" s="32">
        <v>0</v>
      </c>
      <c r="K445" s="346">
        <v>500</v>
      </c>
      <c r="L445" s="141">
        <v>500</v>
      </c>
      <c r="M445" s="451">
        <f t="shared" si="89"/>
        <v>0</v>
      </c>
      <c r="N445" s="414">
        <v>500</v>
      </c>
    </row>
    <row r="446" spans="1:17" ht="27" outlineLevel="6" thickBot="1" x14ac:dyDescent="0.45">
      <c r="A446" s="70" t="s">
        <v>40</v>
      </c>
      <c r="B446" s="3" t="s">
        <v>605</v>
      </c>
      <c r="C446" s="3" t="s">
        <v>448</v>
      </c>
      <c r="D446" s="3" t="s">
        <v>564</v>
      </c>
      <c r="E446" s="3" t="s">
        <v>535</v>
      </c>
      <c r="F446" s="3">
        <v>0</v>
      </c>
      <c r="G446" s="3" t="s">
        <v>621</v>
      </c>
      <c r="H446" s="31" t="s">
        <v>1272</v>
      </c>
      <c r="I446" s="32">
        <v>0</v>
      </c>
      <c r="J446" s="32">
        <v>1759</v>
      </c>
      <c r="K446" s="346">
        <v>1770</v>
      </c>
      <c r="L446" s="141">
        <v>1200</v>
      </c>
      <c r="M446" s="451">
        <f t="shared" si="89"/>
        <v>-252</v>
      </c>
      <c r="N446" s="414">
        <v>1518</v>
      </c>
      <c r="Q446" s="509"/>
    </row>
    <row r="447" spans="1:17" ht="27" outlineLevel="5" thickBot="1" x14ac:dyDescent="0.45">
      <c r="A447" s="71"/>
      <c r="B447" s="6"/>
      <c r="C447" s="6"/>
      <c r="D447" s="9" t="s">
        <v>262</v>
      </c>
      <c r="E447" s="6"/>
      <c r="F447" s="6"/>
      <c r="G447" s="6"/>
      <c r="H447" s="41"/>
      <c r="I447" s="42">
        <f>SUBTOTAL(9,I437:I446)</f>
        <v>22511</v>
      </c>
      <c r="J447" s="42">
        <f>SUBTOTAL(9,J437:J446)</f>
        <v>26772</v>
      </c>
      <c r="K447" s="43">
        <f>SUBTOTAL(9,K437:K446)</f>
        <v>30386</v>
      </c>
      <c r="L447" s="43">
        <f>SUBTOTAL(9,L437:L446)</f>
        <v>45662</v>
      </c>
      <c r="M447" s="453">
        <f>N447-K447</f>
        <v>16558</v>
      </c>
      <c r="N447" s="237">
        <f>SUBTOTAL(9,N437:N446)</f>
        <v>46944</v>
      </c>
    </row>
    <row r="448" spans="1:17" outlineLevel="6" x14ac:dyDescent="0.4">
      <c r="A448" s="70">
        <v>10</v>
      </c>
      <c r="B448" s="3">
        <v>500</v>
      </c>
      <c r="C448" s="3">
        <v>0</v>
      </c>
      <c r="D448" s="3">
        <v>1800</v>
      </c>
      <c r="E448" s="3">
        <v>110</v>
      </c>
      <c r="F448" s="3">
        <v>210</v>
      </c>
      <c r="G448" s="3">
        <v>0</v>
      </c>
      <c r="H448" s="31" t="s">
        <v>263</v>
      </c>
      <c r="I448" s="32">
        <v>7608</v>
      </c>
      <c r="J448" s="32">
        <v>10168</v>
      </c>
      <c r="K448" s="40">
        <v>10150</v>
      </c>
      <c r="L448" s="40">
        <v>10150</v>
      </c>
      <c r="M448" s="451">
        <f>N448-K448</f>
        <v>0</v>
      </c>
      <c r="N448" s="417">
        <v>10150</v>
      </c>
    </row>
    <row r="449" spans="1:17" outlineLevel="6" x14ac:dyDescent="0.4">
      <c r="A449" s="70">
        <v>10</v>
      </c>
      <c r="B449" s="3">
        <v>500</v>
      </c>
      <c r="C449" s="3">
        <v>0</v>
      </c>
      <c r="D449" s="3">
        <v>1800</v>
      </c>
      <c r="E449" s="3">
        <v>110</v>
      </c>
      <c r="F449" s="3">
        <v>210</v>
      </c>
      <c r="G449" s="3" t="s">
        <v>1257</v>
      </c>
      <c r="H449" s="31" t="s">
        <v>1353</v>
      </c>
      <c r="I449" s="32">
        <v>0</v>
      </c>
      <c r="J449" s="32">
        <v>0</v>
      </c>
      <c r="K449" s="40">
        <v>1000</v>
      </c>
      <c r="L449" s="40">
        <v>0</v>
      </c>
      <c r="M449" s="451">
        <f t="shared" ref="M449:M465" si="91">N449-K449</f>
        <v>0</v>
      </c>
      <c r="N449" s="417">
        <v>1000</v>
      </c>
    </row>
    <row r="450" spans="1:17" outlineLevel="6" x14ac:dyDescent="0.4">
      <c r="A450" s="70">
        <v>10</v>
      </c>
      <c r="B450" s="3">
        <v>500</v>
      </c>
      <c r="C450" s="3">
        <v>0</v>
      </c>
      <c r="D450" s="3">
        <v>1800</v>
      </c>
      <c r="E450" s="3">
        <v>110</v>
      </c>
      <c r="F450" s="3" t="s">
        <v>570</v>
      </c>
      <c r="G450" s="3" t="s">
        <v>606</v>
      </c>
      <c r="H450" s="31" t="s">
        <v>2276</v>
      </c>
      <c r="I450" s="32">
        <v>0</v>
      </c>
      <c r="J450" s="32">
        <v>75</v>
      </c>
      <c r="K450" s="40">
        <v>0</v>
      </c>
      <c r="L450" s="40">
        <v>0</v>
      </c>
      <c r="M450" s="451">
        <f t="shared" ref="M450" si="92">N450-K450</f>
        <v>0</v>
      </c>
      <c r="N450" s="417">
        <v>0</v>
      </c>
      <c r="Q450" s="509"/>
    </row>
    <row r="451" spans="1:17" outlineLevel="6" x14ac:dyDescent="0.4">
      <c r="A451" s="70">
        <v>10</v>
      </c>
      <c r="B451" s="3">
        <v>500</v>
      </c>
      <c r="C451" s="3">
        <v>0</v>
      </c>
      <c r="D451" s="3">
        <v>1800</v>
      </c>
      <c r="E451" s="3">
        <v>215</v>
      </c>
      <c r="F451" s="3">
        <v>210</v>
      </c>
      <c r="G451" s="3">
        <v>0</v>
      </c>
      <c r="H451" s="31" t="s">
        <v>67</v>
      </c>
      <c r="I451" s="32">
        <v>21</v>
      </c>
      <c r="J451" s="32">
        <v>30</v>
      </c>
      <c r="K451" s="40">
        <v>31</v>
      </c>
      <c r="L451" s="40">
        <v>31</v>
      </c>
      <c r="M451" s="451">
        <f t="shared" si="91"/>
        <v>0</v>
      </c>
      <c r="N451" s="417">
        <v>31</v>
      </c>
    </row>
    <row r="452" spans="1:17" outlineLevel="6" x14ac:dyDescent="0.4">
      <c r="A452" s="70">
        <v>10</v>
      </c>
      <c r="B452" s="3">
        <v>500</v>
      </c>
      <c r="C452" s="3">
        <v>0</v>
      </c>
      <c r="D452" s="3">
        <v>1800</v>
      </c>
      <c r="E452" s="3">
        <v>215</v>
      </c>
      <c r="F452" s="3">
        <v>210</v>
      </c>
      <c r="G452" s="3" t="s">
        <v>1257</v>
      </c>
      <c r="H452" s="31" t="s">
        <v>1354</v>
      </c>
      <c r="I452" s="32">
        <v>0</v>
      </c>
      <c r="J452" s="32">
        <v>0</v>
      </c>
      <c r="K452" s="40">
        <v>3</v>
      </c>
      <c r="L452" s="40">
        <v>0</v>
      </c>
      <c r="M452" s="451">
        <f t="shared" si="91"/>
        <v>-1</v>
      </c>
      <c r="N452" s="417">
        <v>2</v>
      </c>
    </row>
    <row r="453" spans="1:17" outlineLevel="6" x14ac:dyDescent="0.4">
      <c r="A453" s="70">
        <v>10</v>
      </c>
      <c r="B453" s="3">
        <v>500</v>
      </c>
      <c r="C453" s="3">
        <v>0</v>
      </c>
      <c r="D453" s="3">
        <v>1800</v>
      </c>
      <c r="E453" s="3">
        <v>215</v>
      </c>
      <c r="F453" s="3" t="s">
        <v>570</v>
      </c>
      <c r="G453" s="3" t="s">
        <v>606</v>
      </c>
      <c r="H453" s="31" t="s">
        <v>2277</v>
      </c>
      <c r="I453" s="32">
        <v>0</v>
      </c>
      <c r="J453" s="32">
        <v>0</v>
      </c>
      <c r="K453" s="40">
        <v>0</v>
      </c>
      <c r="L453" s="40">
        <v>0</v>
      </c>
      <c r="M453" s="451">
        <f t="shared" ref="M453" si="93">N453-K453</f>
        <v>0</v>
      </c>
      <c r="N453" s="417">
        <v>0</v>
      </c>
    </row>
    <row r="454" spans="1:17" outlineLevel="6" x14ac:dyDescent="0.4">
      <c r="A454" s="70">
        <v>10</v>
      </c>
      <c r="B454" s="3">
        <v>500</v>
      </c>
      <c r="C454" s="3">
        <v>0</v>
      </c>
      <c r="D454" s="3">
        <v>1800</v>
      </c>
      <c r="E454" s="3">
        <v>221</v>
      </c>
      <c r="F454" s="3">
        <v>210</v>
      </c>
      <c r="G454" s="3">
        <v>0</v>
      </c>
      <c r="H454" s="31" t="s">
        <v>264</v>
      </c>
      <c r="I454" s="32">
        <v>106</v>
      </c>
      <c r="J454" s="32">
        <v>146</v>
      </c>
      <c r="K454" s="40">
        <v>148</v>
      </c>
      <c r="L454" s="40">
        <v>148</v>
      </c>
      <c r="M454" s="451">
        <f t="shared" si="91"/>
        <v>0</v>
      </c>
      <c r="N454" s="417">
        <v>148</v>
      </c>
    </row>
    <row r="455" spans="1:17" outlineLevel="6" x14ac:dyDescent="0.4">
      <c r="A455" s="70">
        <v>10</v>
      </c>
      <c r="B455" s="3">
        <v>500</v>
      </c>
      <c r="C455" s="3">
        <v>0</v>
      </c>
      <c r="D455" s="3">
        <v>1800</v>
      </c>
      <c r="E455" s="3">
        <v>221</v>
      </c>
      <c r="F455" s="3">
        <v>210</v>
      </c>
      <c r="G455" s="3" t="s">
        <v>1257</v>
      </c>
      <c r="H455" s="31" t="s">
        <v>1355</v>
      </c>
      <c r="I455" s="32">
        <v>0</v>
      </c>
      <c r="J455" s="32">
        <v>0</v>
      </c>
      <c r="K455" s="40">
        <v>15</v>
      </c>
      <c r="L455" s="40">
        <v>0</v>
      </c>
      <c r="M455" s="451">
        <f t="shared" si="91"/>
        <v>-1</v>
      </c>
      <c r="N455" s="417">
        <v>14</v>
      </c>
    </row>
    <row r="456" spans="1:17" outlineLevel="6" x14ac:dyDescent="0.4">
      <c r="A456" s="70">
        <v>10</v>
      </c>
      <c r="B456" s="3">
        <v>500</v>
      </c>
      <c r="C456" s="3">
        <v>0</v>
      </c>
      <c r="D456" s="3">
        <v>1800</v>
      </c>
      <c r="E456" s="3">
        <v>221</v>
      </c>
      <c r="F456" s="3" t="s">
        <v>570</v>
      </c>
      <c r="G456" s="3" t="s">
        <v>606</v>
      </c>
      <c r="H456" s="31" t="s">
        <v>2278</v>
      </c>
      <c r="I456" s="32">
        <v>0</v>
      </c>
      <c r="J456" s="32">
        <v>1</v>
      </c>
      <c r="K456" s="40">
        <v>0</v>
      </c>
      <c r="L456" s="40">
        <v>0</v>
      </c>
      <c r="M456" s="451">
        <f t="shared" ref="M456" si="94">N456-K456</f>
        <v>0</v>
      </c>
      <c r="N456" s="417">
        <v>0</v>
      </c>
    </row>
    <row r="457" spans="1:17" outlineLevel="6" x14ac:dyDescent="0.4">
      <c r="A457" s="70">
        <v>10</v>
      </c>
      <c r="B457" s="3">
        <v>500</v>
      </c>
      <c r="C457" s="3">
        <v>0</v>
      </c>
      <c r="D457" s="3">
        <v>1800</v>
      </c>
      <c r="E457" s="3">
        <v>230</v>
      </c>
      <c r="F457" s="3">
        <v>210</v>
      </c>
      <c r="G457" s="3">
        <v>0</v>
      </c>
      <c r="H457" s="31" t="s">
        <v>265</v>
      </c>
      <c r="I457" s="32">
        <v>1317</v>
      </c>
      <c r="J457" s="32">
        <v>1994</v>
      </c>
      <c r="K457" s="40">
        <v>2046</v>
      </c>
      <c r="L457" s="40">
        <v>2071</v>
      </c>
      <c r="M457" s="451">
        <f t="shared" si="91"/>
        <v>25</v>
      </c>
      <c r="N457" s="417">
        <v>2071</v>
      </c>
    </row>
    <row r="458" spans="1:17" outlineLevel="6" x14ac:dyDescent="0.4">
      <c r="A458" s="70">
        <v>10</v>
      </c>
      <c r="B458" s="3">
        <v>500</v>
      </c>
      <c r="C458" s="3">
        <v>0</v>
      </c>
      <c r="D458" s="3">
        <v>1800</v>
      </c>
      <c r="E458" s="3">
        <v>230</v>
      </c>
      <c r="F458" s="3">
        <v>210</v>
      </c>
      <c r="G458" s="3" t="s">
        <v>1257</v>
      </c>
      <c r="H458" s="31" t="s">
        <v>1356</v>
      </c>
      <c r="I458" s="32">
        <v>0</v>
      </c>
      <c r="J458" s="32">
        <v>0</v>
      </c>
      <c r="K458" s="40">
        <v>202</v>
      </c>
      <c r="L458" s="40">
        <v>0</v>
      </c>
      <c r="M458" s="451">
        <f t="shared" si="91"/>
        <v>2</v>
      </c>
      <c r="N458" s="417">
        <v>204</v>
      </c>
    </row>
    <row r="459" spans="1:17" outlineLevel="6" x14ac:dyDescent="0.4">
      <c r="A459" s="70">
        <v>10</v>
      </c>
      <c r="B459" s="3">
        <v>500</v>
      </c>
      <c r="C459" s="3">
        <v>0</v>
      </c>
      <c r="D459" s="3">
        <v>1800</v>
      </c>
      <c r="E459" s="3">
        <v>230</v>
      </c>
      <c r="F459" s="3" t="s">
        <v>570</v>
      </c>
      <c r="G459" s="3" t="s">
        <v>606</v>
      </c>
      <c r="H459" s="31" t="s">
        <v>2279</v>
      </c>
      <c r="I459" s="32">
        <v>0</v>
      </c>
      <c r="J459" s="32">
        <v>15</v>
      </c>
      <c r="K459" s="40">
        <v>0</v>
      </c>
      <c r="L459" s="40">
        <v>0</v>
      </c>
      <c r="M459" s="451">
        <f t="shared" ref="M459" si="95">N459-K459</f>
        <v>0</v>
      </c>
      <c r="N459" s="417">
        <v>0</v>
      </c>
      <c r="Q459" s="509"/>
    </row>
    <row r="460" spans="1:17" outlineLevel="6" x14ac:dyDescent="0.4">
      <c r="A460" s="70">
        <v>10</v>
      </c>
      <c r="B460" s="3">
        <v>500</v>
      </c>
      <c r="C460" s="3">
        <v>0</v>
      </c>
      <c r="D460" s="3">
        <v>1800</v>
      </c>
      <c r="E460" s="3">
        <v>300</v>
      </c>
      <c r="F460" s="3">
        <v>0</v>
      </c>
      <c r="G460" s="3" t="s">
        <v>1257</v>
      </c>
      <c r="H460" s="31" t="s">
        <v>2280</v>
      </c>
      <c r="I460" s="32">
        <v>0</v>
      </c>
      <c r="J460" s="32">
        <v>263</v>
      </c>
      <c r="K460" s="40">
        <v>0</v>
      </c>
      <c r="L460" s="40">
        <v>0</v>
      </c>
      <c r="M460" s="451">
        <f t="shared" ref="M460" si="96">N460-K460</f>
        <v>600</v>
      </c>
      <c r="N460" s="417">
        <v>600</v>
      </c>
      <c r="Q460" s="509"/>
    </row>
    <row r="461" spans="1:17" outlineLevel="6" x14ac:dyDescent="0.4">
      <c r="A461" s="70">
        <v>10</v>
      </c>
      <c r="B461" s="3">
        <v>500</v>
      </c>
      <c r="C461" s="3">
        <v>0</v>
      </c>
      <c r="D461" s="3">
        <v>1800</v>
      </c>
      <c r="E461" s="3">
        <v>580</v>
      </c>
      <c r="F461" s="3">
        <v>0</v>
      </c>
      <c r="G461" s="3">
        <v>0</v>
      </c>
      <c r="H461" s="31" t="s">
        <v>266</v>
      </c>
      <c r="I461" s="32">
        <v>0</v>
      </c>
      <c r="J461" s="32">
        <v>90</v>
      </c>
      <c r="K461" s="40">
        <v>500</v>
      </c>
      <c r="L461" s="40">
        <v>500</v>
      </c>
      <c r="M461" s="451">
        <f t="shared" si="91"/>
        <v>0</v>
      </c>
      <c r="N461" s="417">
        <v>500</v>
      </c>
      <c r="Q461" s="509"/>
    </row>
    <row r="462" spans="1:17" outlineLevel="6" x14ac:dyDescent="0.4">
      <c r="A462" s="70">
        <v>10</v>
      </c>
      <c r="B462" s="3">
        <v>500</v>
      </c>
      <c r="C462" s="3">
        <v>0</v>
      </c>
      <c r="D462" s="3">
        <v>1800</v>
      </c>
      <c r="E462" s="3" t="s">
        <v>535</v>
      </c>
      <c r="F462" s="3">
        <v>0</v>
      </c>
      <c r="G462" s="3" t="s">
        <v>1257</v>
      </c>
      <c r="H462" s="31" t="s">
        <v>1357</v>
      </c>
      <c r="I462" s="32">
        <v>0</v>
      </c>
      <c r="J462" s="32">
        <v>1237</v>
      </c>
      <c r="K462" s="40">
        <v>280</v>
      </c>
      <c r="L462" s="40">
        <v>0</v>
      </c>
      <c r="M462" s="451">
        <f t="shared" si="91"/>
        <v>2250</v>
      </c>
      <c r="N462" s="417">
        <f>475+625+250+150-220+475+625+150</f>
        <v>2530</v>
      </c>
    </row>
    <row r="463" spans="1:17" outlineLevel="6" x14ac:dyDescent="0.4">
      <c r="A463" s="70">
        <v>10</v>
      </c>
      <c r="B463" s="3">
        <v>500</v>
      </c>
      <c r="C463" s="3">
        <v>0</v>
      </c>
      <c r="D463" s="3">
        <v>1800</v>
      </c>
      <c r="E463" s="3">
        <v>610</v>
      </c>
      <c r="F463" s="3">
        <v>0</v>
      </c>
      <c r="G463" s="3">
        <v>0</v>
      </c>
      <c r="H463" s="31" t="s">
        <v>267</v>
      </c>
      <c r="I463" s="32">
        <v>394</v>
      </c>
      <c r="J463" s="32">
        <v>0</v>
      </c>
      <c r="K463" s="40">
        <v>200</v>
      </c>
      <c r="L463" s="40">
        <v>400</v>
      </c>
      <c r="M463" s="451">
        <f t="shared" si="91"/>
        <v>200</v>
      </c>
      <c r="N463" s="417">
        <v>400</v>
      </c>
    </row>
    <row r="464" spans="1:17" outlineLevel="6" x14ac:dyDescent="0.4">
      <c r="A464" s="70">
        <v>10</v>
      </c>
      <c r="B464" s="3">
        <v>500</v>
      </c>
      <c r="C464" s="3">
        <v>0</v>
      </c>
      <c r="D464" s="3">
        <v>1800</v>
      </c>
      <c r="E464" s="3">
        <v>610</v>
      </c>
      <c r="F464" s="3">
        <v>0</v>
      </c>
      <c r="G464" s="3" t="s">
        <v>1323</v>
      </c>
      <c r="H464" s="31" t="s">
        <v>1385</v>
      </c>
      <c r="I464" s="32">
        <v>394</v>
      </c>
      <c r="J464" s="32">
        <v>0</v>
      </c>
      <c r="K464" s="40">
        <v>200</v>
      </c>
      <c r="L464" s="40">
        <v>0</v>
      </c>
      <c r="M464" s="451">
        <f t="shared" si="91"/>
        <v>-200</v>
      </c>
      <c r="N464" s="417">
        <v>0</v>
      </c>
      <c r="Q464" s="509"/>
    </row>
    <row r="465" spans="1:17" ht="27" outlineLevel="6" thickBot="1" x14ac:dyDescent="0.45">
      <c r="A465" s="70">
        <v>10</v>
      </c>
      <c r="B465" s="3">
        <v>500</v>
      </c>
      <c r="C465" s="3">
        <v>0</v>
      </c>
      <c r="D465" s="3">
        <v>1800</v>
      </c>
      <c r="E465" s="3">
        <v>800</v>
      </c>
      <c r="F465" s="3">
        <v>0</v>
      </c>
      <c r="G465" s="3">
        <v>0</v>
      </c>
      <c r="H465" s="31" t="s">
        <v>268</v>
      </c>
      <c r="I465" s="32">
        <v>0</v>
      </c>
      <c r="J465" s="32">
        <v>0</v>
      </c>
      <c r="K465" s="147">
        <v>500</v>
      </c>
      <c r="L465" s="40">
        <v>500</v>
      </c>
      <c r="M465" s="451">
        <f t="shared" si="91"/>
        <v>0</v>
      </c>
      <c r="N465" s="418">
        <v>500</v>
      </c>
      <c r="Q465" s="509"/>
    </row>
    <row r="466" spans="1:17" ht="27" outlineLevel="5" thickBot="1" x14ac:dyDescent="0.45">
      <c r="A466" s="71"/>
      <c r="B466" s="6"/>
      <c r="C466" s="6"/>
      <c r="D466" s="9" t="s">
        <v>150</v>
      </c>
      <c r="E466" s="6"/>
      <c r="F466" s="6"/>
      <c r="G466" s="6"/>
      <c r="H466" s="41"/>
      <c r="I466" s="42">
        <f>SUBTOTAL(9,I448:I465)</f>
        <v>9840</v>
      </c>
      <c r="J466" s="42">
        <f>SUBTOTAL(9,J448:J465)</f>
        <v>14019</v>
      </c>
      <c r="K466" s="43">
        <f>SUBTOTAL(9,K448:K465)</f>
        <v>15275</v>
      </c>
      <c r="L466" s="43">
        <f>SUBTOTAL(9,L448:L465)</f>
        <v>13800</v>
      </c>
      <c r="M466" s="453">
        <f>N466-K466</f>
        <v>2875</v>
      </c>
      <c r="N466" s="237">
        <f>SUBTOTAL(9,N448:N465)</f>
        <v>18150</v>
      </c>
    </row>
    <row r="467" spans="1:17" outlineLevel="6" x14ac:dyDescent="0.4">
      <c r="A467" s="70">
        <v>10</v>
      </c>
      <c r="B467" s="3">
        <v>500</v>
      </c>
      <c r="C467" s="3">
        <v>0</v>
      </c>
      <c r="D467" s="3" t="s">
        <v>550</v>
      </c>
      <c r="E467" s="3" t="s">
        <v>1275</v>
      </c>
      <c r="F467" s="3" t="s">
        <v>1290</v>
      </c>
      <c r="G467" s="3" t="s">
        <v>1282</v>
      </c>
      <c r="H467" s="31" t="s">
        <v>1291</v>
      </c>
      <c r="I467" s="32">
        <v>0</v>
      </c>
      <c r="J467" s="32">
        <v>5168</v>
      </c>
      <c r="K467" s="40">
        <v>5168</v>
      </c>
      <c r="L467" s="40">
        <v>5168</v>
      </c>
      <c r="M467" s="451">
        <f>N467-K467</f>
        <v>0</v>
      </c>
      <c r="N467" s="417">
        <v>5168</v>
      </c>
      <c r="O467" s="29" t="s">
        <v>1466</v>
      </c>
      <c r="Q467" s="509"/>
    </row>
    <row r="468" spans="1:17" outlineLevel="6" x14ac:dyDescent="0.4">
      <c r="A468" s="70" t="s">
        <v>40</v>
      </c>
      <c r="B468" s="3" t="s">
        <v>524</v>
      </c>
      <c r="C468" s="3" t="s">
        <v>448</v>
      </c>
      <c r="D468" s="3" t="s">
        <v>550</v>
      </c>
      <c r="E468" s="3" t="s">
        <v>533</v>
      </c>
      <c r="F468" s="3" t="s">
        <v>1290</v>
      </c>
      <c r="G468" s="3" t="s">
        <v>1282</v>
      </c>
      <c r="H468" s="31" t="s">
        <v>1292</v>
      </c>
      <c r="I468" s="32">
        <v>0</v>
      </c>
      <c r="J468" s="32">
        <v>15</v>
      </c>
      <c r="K468" s="40">
        <v>15</v>
      </c>
      <c r="L468" s="40">
        <v>15</v>
      </c>
      <c r="M468" s="451">
        <f t="shared" ref="M468:M471" si="97">N468-K468</f>
        <v>0</v>
      </c>
      <c r="N468" s="417">
        <v>15</v>
      </c>
    </row>
    <row r="469" spans="1:17" outlineLevel="6" x14ac:dyDescent="0.4">
      <c r="A469" s="70" t="s">
        <v>40</v>
      </c>
      <c r="B469" s="3" t="s">
        <v>524</v>
      </c>
      <c r="C469" s="3" t="s">
        <v>448</v>
      </c>
      <c r="D469" s="3" t="s">
        <v>550</v>
      </c>
      <c r="E469" s="3" t="s">
        <v>480</v>
      </c>
      <c r="F469" s="3" t="s">
        <v>1290</v>
      </c>
      <c r="G469" s="3" t="s">
        <v>1282</v>
      </c>
      <c r="H469" s="31" t="s">
        <v>1293</v>
      </c>
      <c r="I469" s="32">
        <v>0</v>
      </c>
      <c r="J469" s="32">
        <v>74</v>
      </c>
      <c r="K469" s="40">
        <v>75</v>
      </c>
      <c r="L469" s="40">
        <v>75</v>
      </c>
      <c r="M469" s="451">
        <f t="shared" si="97"/>
        <v>0</v>
      </c>
      <c r="N469" s="417">
        <v>75</v>
      </c>
    </row>
    <row r="470" spans="1:17" outlineLevel="6" x14ac:dyDescent="0.4">
      <c r="A470" s="70" t="s">
        <v>40</v>
      </c>
      <c r="B470" s="3" t="s">
        <v>524</v>
      </c>
      <c r="C470" s="3" t="s">
        <v>448</v>
      </c>
      <c r="D470" s="3" t="s">
        <v>550</v>
      </c>
      <c r="E470" s="3" t="s">
        <v>534</v>
      </c>
      <c r="F470" s="3" t="s">
        <v>1290</v>
      </c>
      <c r="G470" s="3" t="s">
        <v>1282</v>
      </c>
      <c r="H470" s="31" t="s">
        <v>1294</v>
      </c>
      <c r="I470" s="32">
        <v>0</v>
      </c>
      <c r="J470" s="32">
        <v>1025</v>
      </c>
      <c r="K470" s="40">
        <v>1042</v>
      </c>
      <c r="L470" s="40">
        <v>1055</v>
      </c>
      <c r="M470" s="451">
        <f t="shared" si="97"/>
        <v>0</v>
      </c>
      <c r="N470" s="417">
        <v>1042</v>
      </c>
      <c r="Q470" s="509"/>
    </row>
    <row r="471" spans="1:17" ht="27" outlineLevel="6" thickBot="1" x14ac:dyDescent="0.45">
      <c r="A471" s="70" t="s">
        <v>40</v>
      </c>
      <c r="B471" s="3" t="s">
        <v>524</v>
      </c>
      <c r="C471" s="3" t="s">
        <v>448</v>
      </c>
      <c r="D471" s="3" t="s">
        <v>550</v>
      </c>
      <c r="E471" s="3" t="s">
        <v>535</v>
      </c>
      <c r="F471" s="3" t="s">
        <v>437</v>
      </c>
      <c r="G471" s="3" t="s">
        <v>1282</v>
      </c>
      <c r="H471" s="31" t="s">
        <v>1295</v>
      </c>
      <c r="I471" s="32">
        <v>0</v>
      </c>
      <c r="J471" s="32">
        <v>2578</v>
      </c>
      <c r="K471" s="40">
        <v>3780</v>
      </c>
      <c r="L471" s="40">
        <v>3780</v>
      </c>
      <c r="M471" s="451">
        <f t="shared" si="97"/>
        <v>-1236</v>
      </c>
      <c r="N471" s="417">
        <v>2544</v>
      </c>
      <c r="Q471" s="509"/>
    </row>
    <row r="472" spans="1:17" ht="27" outlineLevel="5" thickBot="1" x14ac:dyDescent="0.45">
      <c r="A472" s="71"/>
      <c r="B472" s="6"/>
      <c r="C472" s="6"/>
      <c r="D472" s="9" t="s">
        <v>1289</v>
      </c>
      <c r="E472" s="6"/>
      <c r="F472" s="6"/>
      <c r="G472" s="6"/>
      <c r="H472" s="41"/>
      <c r="I472" s="42">
        <f>SUBTOTAL(9,I467:I468)</f>
        <v>0</v>
      </c>
      <c r="J472" s="42">
        <f>SUBTOTAL(9,J467:J471)</f>
        <v>8860</v>
      </c>
      <c r="K472" s="43">
        <f>SUBTOTAL(9,K467:K471)</f>
        <v>10080</v>
      </c>
      <c r="L472" s="43">
        <f>SUBTOTAL(9,L467:L471)</f>
        <v>10093</v>
      </c>
      <c r="M472" s="453">
        <f t="shared" ref="M472:M482" si="98">N472-K472</f>
        <v>-1236</v>
      </c>
      <c r="N472" s="237">
        <f>SUBTOTAL(9,N467:N471)</f>
        <v>8844</v>
      </c>
    </row>
    <row r="473" spans="1:17" outlineLevel="6" x14ac:dyDescent="0.4">
      <c r="A473" s="70">
        <v>10</v>
      </c>
      <c r="B473" s="3">
        <v>500</v>
      </c>
      <c r="C473" s="3">
        <v>0</v>
      </c>
      <c r="D473" s="3" t="s">
        <v>1273</v>
      </c>
      <c r="E473" s="3" t="s">
        <v>526</v>
      </c>
      <c r="F473" s="3" t="s">
        <v>2317</v>
      </c>
      <c r="G473" s="3" t="s">
        <v>2314</v>
      </c>
      <c r="H473" s="31" t="s">
        <v>2316</v>
      </c>
      <c r="I473" s="32">
        <v>0</v>
      </c>
      <c r="J473" s="32">
        <v>0</v>
      </c>
      <c r="K473" s="40">
        <v>0</v>
      </c>
      <c r="L473" s="40">
        <v>0</v>
      </c>
      <c r="M473" s="451">
        <f t="shared" si="98"/>
        <v>37822</v>
      </c>
      <c r="N473" s="417">
        <v>37822</v>
      </c>
      <c r="O473" s="29" t="s">
        <v>2323</v>
      </c>
      <c r="Q473" s="509"/>
    </row>
    <row r="474" spans="1:17" outlineLevel="6" x14ac:dyDescent="0.4">
      <c r="A474" s="70">
        <v>10</v>
      </c>
      <c r="B474" s="3">
        <v>500</v>
      </c>
      <c r="C474" s="3">
        <v>0</v>
      </c>
      <c r="D474" s="3" t="s">
        <v>1273</v>
      </c>
      <c r="E474" s="3" t="s">
        <v>533</v>
      </c>
      <c r="F474" s="3" t="s">
        <v>2317</v>
      </c>
      <c r="G474" s="3" t="s">
        <v>2314</v>
      </c>
      <c r="H474" s="31" t="s">
        <v>2322</v>
      </c>
      <c r="I474" s="32">
        <v>0</v>
      </c>
      <c r="J474" s="32">
        <v>0</v>
      </c>
      <c r="K474" s="40">
        <v>0</v>
      </c>
      <c r="L474" s="40">
        <v>0</v>
      </c>
      <c r="M474" s="451">
        <f t="shared" si="98"/>
        <v>66</v>
      </c>
      <c r="N474" s="417">
        <v>66</v>
      </c>
    </row>
    <row r="475" spans="1:17" outlineLevel="6" x14ac:dyDescent="0.4">
      <c r="A475" s="70">
        <v>10</v>
      </c>
      <c r="B475" s="3">
        <v>500</v>
      </c>
      <c r="C475" s="3">
        <v>0</v>
      </c>
      <c r="D475" s="3" t="s">
        <v>1273</v>
      </c>
      <c r="E475" s="3" t="s">
        <v>533</v>
      </c>
      <c r="F475" s="3" t="s">
        <v>2317</v>
      </c>
      <c r="G475" s="3" t="s">
        <v>2314</v>
      </c>
      <c r="H475" s="31" t="s">
        <v>2318</v>
      </c>
      <c r="I475" s="32">
        <v>0</v>
      </c>
      <c r="J475" s="32">
        <v>0</v>
      </c>
      <c r="K475" s="40">
        <v>0</v>
      </c>
      <c r="L475" s="40">
        <v>0</v>
      </c>
      <c r="M475" s="451">
        <f t="shared" si="98"/>
        <v>114</v>
      </c>
      <c r="N475" s="417">
        <v>114</v>
      </c>
    </row>
    <row r="476" spans="1:17" outlineLevel="6" x14ac:dyDescent="0.4">
      <c r="A476" s="70">
        <v>10</v>
      </c>
      <c r="B476" s="3">
        <v>500</v>
      </c>
      <c r="C476" s="3">
        <v>0</v>
      </c>
      <c r="D476" s="3" t="s">
        <v>1273</v>
      </c>
      <c r="E476" s="3" t="s">
        <v>480</v>
      </c>
      <c r="F476" s="3" t="s">
        <v>2317</v>
      </c>
      <c r="G476" s="3" t="s">
        <v>2314</v>
      </c>
      <c r="H476" s="31" t="s">
        <v>2319</v>
      </c>
      <c r="I476" s="32">
        <v>0</v>
      </c>
      <c r="J476" s="32">
        <v>0</v>
      </c>
      <c r="K476" s="40">
        <v>0</v>
      </c>
      <c r="L476" s="40">
        <v>0</v>
      </c>
      <c r="M476" s="451">
        <f t="shared" si="98"/>
        <v>549</v>
      </c>
      <c r="N476" s="417">
        <v>549</v>
      </c>
    </row>
    <row r="477" spans="1:17" outlineLevel="6" x14ac:dyDescent="0.4">
      <c r="A477" s="70">
        <v>10</v>
      </c>
      <c r="B477" s="3">
        <v>500</v>
      </c>
      <c r="C477" s="3">
        <v>0</v>
      </c>
      <c r="D477" s="3" t="s">
        <v>1273</v>
      </c>
      <c r="E477" s="3" t="s">
        <v>534</v>
      </c>
      <c r="F477" s="3" t="s">
        <v>2317</v>
      </c>
      <c r="G477" s="3" t="s">
        <v>2314</v>
      </c>
      <c r="H477" s="31" t="s">
        <v>2320</v>
      </c>
      <c r="I477" s="32">
        <v>0</v>
      </c>
      <c r="J477" s="32">
        <v>0</v>
      </c>
      <c r="K477" s="40">
        <v>0</v>
      </c>
      <c r="L477" s="40">
        <v>0</v>
      </c>
      <c r="M477" s="451">
        <f t="shared" si="98"/>
        <v>7716</v>
      </c>
      <c r="N477" s="417">
        <v>7716</v>
      </c>
    </row>
    <row r="478" spans="1:17" outlineLevel="6" x14ac:dyDescent="0.4">
      <c r="A478" s="70">
        <v>10</v>
      </c>
      <c r="B478" s="3">
        <v>500</v>
      </c>
      <c r="C478" s="3">
        <v>0</v>
      </c>
      <c r="D478" s="3" t="s">
        <v>1273</v>
      </c>
      <c r="E478" s="3" t="s">
        <v>450</v>
      </c>
      <c r="F478" s="3" t="s">
        <v>2317</v>
      </c>
      <c r="G478" s="3" t="s">
        <v>2314</v>
      </c>
      <c r="H478" s="31" t="s">
        <v>2321</v>
      </c>
      <c r="I478" s="32">
        <v>0</v>
      </c>
      <c r="J478" s="32">
        <v>0</v>
      </c>
      <c r="K478" s="40">
        <v>0</v>
      </c>
      <c r="L478" s="40">
        <v>0</v>
      </c>
      <c r="M478" s="451">
        <f t="shared" si="98"/>
        <v>6169</v>
      </c>
      <c r="N478" s="417">
        <v>6169</v>
      </c>
      <c r="Q478" s="509"/>
    </row>
    <row r="479" spans="1:17" outlineLevel="6" x14ac:dyDescent="0.4">
      <c r="A479" s="70">
        <v>10</v>
      </c>
      <c r="B479" s="3">
        <v>500</v>
      </c>
      <c r="C479" s="3">
        <v>0</v>
      </c>
      <c r="D479" s="3" t="s">
        <v>1273</v>
      </c>
      <c r="E479" s="3" t="s">
        <v>611</v>
      </c>
      <c r="F479" s="3" t="s">
        <v>437</v>
      </c>
      <c r="G479" s="3" t="s">
        <v>1282</v>
      </c>
      <c r="H479" s="31" t="s">
        <v>1287</v>
      </c>
      <c r="I479" s="32">
        <v>0</v>
      </c>
      <c r="J479" s="32">
        <v>60337</v>
      </c>
      <c r="K479" s="40">
        <v>60000</v>
      </c>
      <c r="L479" s="40">
        <v>60000</v>
      </c>
      <c r="M479" s="451">
        <f t="shared" si="98"/>
        <v>0</v>
      </c>
      <c r="N479" s="417">
        <v>60000</v>
      </c>
    </row>
    <row r="480" spans="1:17" outlineLevel="6" x14ac:dyDescent="0.4">
      <c r="A480" s="70">
        <v>10</v>
      </c>
      <c r="B480" s="3">
        <v>500</v>
      </c>
      <c r="C480" s="3">
        <v>0</v>
      </c>
      <c r="D480" s="3" t="s">
        <v>1273</v>
      </c>
      <c r="E480" s="3" t="s">
        <v>611</v>
      </c>
      <c r="F480" s="3" t="s">
        <v>437</v>
      </c>
      <c r="G480" s="3" t="s">
        <v>1282</v>
      </c>
      <c r="H480" s="31" t="s">
        <v>2308</v>
      </c>
      <c r="I480" s="32">
        <v>0</v>
      </c>
      <c r="J480" s="32">
        <v>0</v>
      </c>
      <c r="K480" s="40">
        <v>0</v>
      </c>
      <c r="L480" s="40">
        <v>0</v>
      </c>
      <c r="M480" s="451">
        <f t="shared" si="98"/>
        <v>300</v>
      </c>
      <c r="N480" s="417">
        <v>300</v>
      </c>
      <c r="Q480" s="509"/>
    </row>
    <row r="481" spans="1:17" outlineLevel="6" x14ac:dyDescent="0.4">
      <c r="A481" s="70">
        <v>10</v>
      </c>
      <c r="B481" s="3">
        <v>500</v>
      </c>
      <c r="C481" s="3">
        <v>0</v>
      </c>
      <c r="D481" s="3" t="s">
        <v>1273</v>
      </c>
      <c r="E481" s="3" t="s">
        <v>524</v>
      </c>
      <c r="F481" s="3" t="s">
        <v>437</v>
      </c>
      <c r="G481" s="3" t="s">
        <v>1282</v>
      </c>
      <c r="H481" s="31" t="s">
        <v>2354</v>
      </c>
      <c r="I481" s="32">
        <v>0</v>
      </c>
      <c r="J481" s="32">
        <v>0</v>
      </c>
      <c r="K481" s="40">
        <v>0</v>
      </c>
      <c r="L481" s="40">
        <v>0</v>
      </c>
      <c r="M481" s="451">
        <f t="shared" si="98"/>
        <v>600</v>
      </c>
      <c r="N481" s="417">
        <v>600</v>
      </c>
    </row>
    <row r="482" spans="1:17" outlineLevel="6" x14ac:dyDescent="0.4">
      <c r="A482" s="70">
        <v>10</v>
      </c>
      <c r="B482" s="3">
        <v>500</v>
      </c>
      <c r="C482" s="3">
        <v>0</v>
      </c>
      <c r="D482" s="3" t="s">
        <v>1273</v>
      </c>
      <c r="E482" s="3" t="s">
        <v>531</v>
      </c>
      <c r="F482" s="3" t="s">
        <v>437</v>
      </c>
      <c r="G482" s="3" t="s">
        <v>2314</v>
      </c>
      <c r="H482" s="31" t="s">
        <v>2324</v>
      </c>
      <c r="I482" s="32">
        <v>0</v>
      </c>
      <c r="J482" s="32">
        <v>0</v>
      </c>
      <c r="K482" s="40">
        <v>0</v>
      </c>
      <c r="L482" s="40">
        <v>0</v>
      </c>
      <c r="M482" s="451">
        <f t="shared" si="98"/>
        <v>10000</v>
      </c>
      <c r="N482" s="417">
        <v>10000</v>
      </c>
      <c r="Q482" s="509"/>
    </row>
    <row r="483" spans="1:17" outlineLevel="6" x14ac:dyDescent="0.4">
      <c r="A483" s="70" t="s">
        <v>40</v>
      </c>
      <c r="B483" s="3" t="s">
        <v>524</v>
      </c>
      <c r="C483" s="3" t="s">
        <v>448</v>
      </c>
      <c r="D483" s="3" t="s">
        <v>1273</v>
      </c>
      <c r="E483" s="3" t="s">
        <v>535</v>
      </c>
      <c r="F483" s="3" t="s">
        <v>437</v>
      </c>
      <c r="G483" s="3" t="s">
        <v>1282</v>
      </c>
      <c r="H483" s="31" t="s">
        <v>1288</v>
      </c>
      <c r="I483" s="32">
        <v>0</v>
      </c>
      <c r="J483" s="32">
        <v>2769</v>
      </c>
      <c r="K483" s="40">
        <v>7059</v>
      </c>
      <c r="L483" s="40">
        <v>7059</v>
      </c>
      <c r="M483" s="451">
        <f t="shared" ref="M483:M485" si="99">N483-K483</f>
        <v>-5787</v>
      </c>
      <c r="N483" s="417">
        <v>1272</v>
      </c>
    </row>
    <row r="484" spans="1:17" outlineLevel="6" x14ac:dyDescent="0.4">
      <c r="A484" s="70" t="s">
        <v>40</v>
      </c>
      <c r="B484" s="3" t="s">
        <v>524</v>
      </c>
      <c r="C484" s="3" t="s">
        <v>448</v>
      </c>
      <c r="D484" s="3" t="s">
        <v>1273</v>
      </c>
      <c r="E484" s="3" t="s">
        <v>535</v>
      </c>
      <c r="F484" s="3" t="s">
        <v>437</v>
      </c>
      <c r="G484" s="3" t="s">
        <v>2314</v>
      </c>
      <c r="H484" s="31" t="s">
        <v>2395</v>
      </c>
      <c r="I484" s="32">
        <v>0</v>
      </c>
      <c r="J484" s="32">
        <v>0</v>
      </c>
      <c r="K484" s="40">
        <v>0</v>
      </c>
      <c r="L484" s="40">
        <v>0</v>
      </c>
      <c r="M484" s="451">
        <f t="shared" ref="M484" si="100">N484-K484</f>
        <v>20064</v>
      </c>
      <c r="N484" s="417">
        <v>20064</v>
      </c>
    </row>
    <row r="485" spans="1:17" s="82" customFormat="1" ht="27" outlineLevel="5" thickBot="1" x14ac:dyDescent="0.45">
      <c r="A485" s="70" t="s">
        <v>40</v>
      </c>
      <c r="B485" s="3" t="s">
        <v>605</v>
      </c>
      <c r="C485" s="3" t="s">
        <v>448</v>
      </c>
      <c r="D485" s="3" t="s">
        <v>1273</v>
      </c>
      <c r="E485" s="3" t="s">
        <v>535</v>
      </c>
      <c r="F485" s="3" t="s">
        <v>448</v>
      </c>
      <c r="G485" s="3" t="s">
        <v>621</v>
      </c>
      <c r="H485" s="31" t="s">
        <v>1274</v>
      </c>
      <c r="I485" s="32">
        <v>0</v>
      </c>
      <c r="J485" s="32">
        <v>0</v>
      </c>
      <c r="K485" s="349">
        <v>1000</v>
      </c>
      <c r="L485" s="141">
        <v>0</v>
      </c>
      <c r="M485" s="451">
        <f t="shared" si="99"/>
        <v>-1000</v>
      </c>
      <c r="N485" s="422">
        <v>0</v>
      </c>
      <c r="Q485" s="510"/>
    </row>
    <row r="486" spans="1:17" ht="27" outlineLevel="5" thickBot="1" x14ac:dyDescent="0.45">
      <c r="A486" s="71"/>
      <c r="B486" s="6"/>
      <c r="C486" s="6"/>
      <c r="D486" s="9" t="s">
        <v>1289</v>
      </c>
      <c r="E486" s="6"/>
      <c r="F486" s="6"/>
      <c r="G486" s="6"/>
      <c r="H486" s="41"/>
      <c r="I486" s="42">
        <f>SUBTOTAL(9,I479:I483)</f>
        <v>0</v>
      </c>
      <c r="J486" s="42">
        <f>SUBTOTAL(9,J479:J485)</f>
        <v>63106</v>
      </c>
      <c r="K486" s="43">
        <f>SUBTOTAL(9,K479:K485)</f>
        <v>68059</v>
      </c>
      <c r="L486" s="43">
        <f>SUBTOTAL(9,L479:L485)</f>
        <v>67059</v>
      </c>
      <c r="M486" s="453">
        <f>N486-K486</f>
        <v>24177</v>
      </c>
      <c r="N486" s="237">
        <f>SUBTOTAL(9,N479:N485)</f>
        <v>92236</v>
      </c>
    </row>
    <row r="487" spans="1:17" outlineLevel="6" x14ac:dyDescent="0.4">
      <c r="A487" s="70">
        <v>10</v>
      </c>
      <c r="B487" s="3">
        <v>500</v>
      </c>
      <c r="C487" s="3">
        <v>0</v>
      </c>
      <c r="D487" s="3">
        <v>2213</v>
      </c>
      <c r="E487" s="3" t="s">
        <v>526</v>
      </c>
      <c r="F487" s="3">
        <v>200</v>
      </c>
      <c r="G487" s="3">
        <v>0</v>
      </c>
      <c r="H487" s="31" t="s">
        <v>1367</v>
      </c>
      <c r="I487" s="32">
        <v>0</v>
      </c>
      <c r="J487" s="32">
        <v>100</v>
      </c>
      <c r="K487" s="40">
        <v>100</v>
      </c>
      <c r="L487" s="40">
        <v>0</v>
      </c>
      <c r="M487" s="451">
        <f>N487-K487</f>
        <v>-100</v>
      </c>
      <c r="N487" s="417">
        <v>0</v>
      </c>
    </row>
    <row r="488" spans="1:17" outlineLevel="6" x14ac:dyDescent="0.4">
      <c r="A488" s="70">
        <v>10</v>
      </c>
      <c r="B488" s="3">
        <v>500</v>
      </c>
      <c r="C488" s="3">
        <v>0</v>
      </c>
      <c r="D488" s="3">
        <v>2213</v>
      </c>
      <c r="E488" s="3" t="s">
        <v>533</v>
      </c>
      <c r="F488" s="3">
        <v>200</v>
      </c>
      <c r="G488" s="3">
        <v>0</v>
      </c>
      <c r="H488" s="31" t="s">
        <v>1368</v>
      </c>
      <c r="I488" s="32">
        <v>0</v>
      </c>
      <c r="J488" s="32">
        <v>1</v>
      </c>
      <c r="K488" s="40">
        <v>1</v>
      </c>
      <c r="L488" s="40">
        <v>0</v>
      </c>
      <c r="M488" s="451">
        <f t="shared" ref="M488:M491" si="101">N488-K488</f>
        <v>-1</v>
      </c>
      <c r="N488" s="417">
        <v>0</v>
      </c>
    </row>
    <row r="489" spans="1:17" outlineLevel="6" x14ac:dyDescent="0.4">
      <c r="A489" s="70">
        <v>10</v>
      </c>
      <c r="B489" s="3">
        <v>500</v>
      </c>
      <c r="C489" s="3">
        <v>0</v>
      </c>
      <c r="D489" s="3">
        <v>2213</v>
      </c>
      <c r="E489" s="3" t="s">
        <v>480</v>
      </c>
      <c r="F489" s="3">
        <v>200</v>
      </c>
      <c r="G489" s="3">
        <v>0</v>
      </c>
      <c r="H489" s="31" t="s">
        <v>1369</v>
      </c>
      <c r="I489" s="32">
        <v>0</v>
      </c>
      <c r="J489" s="32">
        <v>1</v>
      </c>
      <c r="K489" s="40">
        <v>1</v>
      </c>
      <c r="L489" s="40">
        <v>0</v>
      </c>
      <c r="M489" s="451">
        <f t="shared" si="101"/>
        <v>-1</v>
      </c>
      <c r="N489" s="417">
        <v>0</v>
      </c>
    </row>
    <row r="490" spans="1:17" outlineLevel="6" x14ac:dyDescent="0.4">
      <c r="A490" s="70">
        <v>10</v>
      </c>
      <c r="B490" s="3">
        <v>500</v>
      </c>
      <c r="C490" s="3">
        <v>0</v>
      </c>
      <c r="D490" s="3">
        <v>2213</v>
      </c>
      <c r="E490" s="3" t="s">
        <v>480</v>
      </c>
      <c r="F490" s="3">
        <v>200</v>
      </c>
      <c r="G490" s="3">
        <v>0</v>
      </c>
      <c r="H490" s="31" t="s">
        <v>1370</v>
      </c>
      <c r="I490" s="32">
        <v>0</v>
      </c>
      <c r="J490" s="32">
        <v>20</v>
      </c>
      <c r="K490" s="40">
        <v>20</v>
      </c>
      <c r="L490" s="40">
        <v>0</v>
      </c>
      <c r="M490" s="451">
        <f t="shared" si="101"/>
        <v>-20</v>
      </c>
      <c r="N490" s="417">
        <v>0</v>
      </c>
    </row>
    <row r="491" spans="1:17" outlineLevel="6" x14ac:dyDescent="0.4">
      <c r="A491" s="70">
        <v>10</v>
      </c>
      <c r="B491" s="3">
        <v>500</v>
      </c>
      <c r="C491" s="3">
        <v>0</v>
      </c>
      <c r="D491" s="3">
        <v>2213</v>
      </c>
      <c r="E491" s="3">
        <v>580</v>
      </c>
      <c r="F491" s="3">
        <v>200</v>
      </c>
      <c r="G491" s="3" t="s">
        <v>2314</v>
      </c>
      <c r="H491" s="31" t="s">
        <v>2325</v>
      </c>
      <c r="I491" s="32">
        <v>0</v>
      </c>
      <c r="J491" s="32">
        <v>0</v>
      </c>
      <c r="K491" s="40">
        <v>0</v>
      </c>
      <c r="L491" s="40">
        <v>0</v>
      </c>
      <c r="M491" s="451">
        <f t="shared" si="101"/>
        <v>12000</v>
      </c>
      <c r="N491" s="417">
        <v>12000</v>
      </c>
    </row>
    <row r="492" spans="1:17" outlineLevel="6" x14ac:dyDescent="0.4">
      <c r="A492" s="70">
        <v>10</v>
      </c>
      <c r="B492" s="3">
        <v>500</v>
      </c>
      <c r="C492" s="3">
        <v>0</v>
      </c>
      <c r="D492" s="3">
        <v>2213</v>
      </c>
      <c r="E492" s="3">
        <v>580</v>
      </c>
      <c r="F492" s="3">
        <v>200</v>
      </c>
      <c r="G492" s="3">
        <v>0</v>
      </c>
      <c r="H492" s="31" t="s">
        <v>236</v>
      </c>
      <c r="I492" s="32">
        <v>3476</v>
      </c>
      <c r="J492" s="32">
        <v>4881</v>
      </c>
      <c r="K492" s="40">
        <v>4878</v>
      </c>
      <c r="L492" s="40">
        <v>5000</v>
      </c>
      <c r="M492" s="451">
        <f t="shared" ref="M492" si="102">N492-K492</f>
        <v>-3313</v>
      </c>
      <c r="N492" s="417">
        <v>1565</v>
      </c>
    </row>
    <row r="493" spans="1:17" ht="27" outlineLevel="6" thickBot="1" x14ac:dyDescent="0.45">
      <c r="A493" s="70">
        <v>10</v>
      </c>
      <c r="B493" s="3">
        <v>500</v>
      </c>
      <c r="C493" s="3">
        <v>0</v>
      </c>
      <c r="D493" s="3">
        <v>2213</v>
      </c>
      <c r="E493" s="3">
        <v>580</v>
      </c>
      <c r="F493" s="3">
        <v>200</v>
      </c>
      <c r="G493" s="3" t="s">
        <v>1323</v>
      </c>
      <c r="H493" s="31" t="s">
        <v>2446</v>
      </c>
      <c r="I493" s="32">
        <v>0</v>
      </c>
      <c r="J493" s="32">
        <v>0</v>
      </c>
      <c r="K493" s="40">
        <v>0</v>
      </c>
      <c r="L493" s="40">
        <v>0</v>
      </c>
      <c r="M493" s="451">
        <f t="shared" ref="M493" si="103">N493-K493</f>
        <v>3435</v>
      </c>
      <c r="N493" s="417">
        <v>3435</v>
      </c>
      <c r="Q493" s="509"/>
    </row>
    <row r="494" spans="1:17" ht="27" outlineLevel="5" thickBot="1" x14ac:dyDescent="0.45">
      <c r="A494" s="71"/>
      <c r="B494" s="6"/>
      <c r="C494" s="6"/>
      <c r="D494" s="9" t="s">
        <v>269</v>
      </c>
      <c r="E494" s="6"/>
      <c r="F494" s="6"/>
      <c r="G494" s="6"/>
      <c r="H494" s="41"/>
      <c r="I494" s="42">
        <f>SUBTOTAL(9,I487:I493)</f>
        <v>3476</v>
      </c>
      <c r="J494" s="42">
        <f>SUBTOTAL(9,J487:J493)</f>
        <v>5003</v>
      </c>
      <c r="K494" s="43">
        <f>SUBTOTAL(9,K487:K493)</f>
        <v>5000</v>
      </c>
      <c r="L494" s="43">
        <f>SUBTOTAL(9,L487:L493)</f>
        <v>5000</v>
      </c>
      <c r="M494" s="453">
        <f>N494-K494</f>
        <v>12000</v>
      </c>
      <c r="N494" s="237">
        <f>SUBTOTAL(9,N487:N493)</f>
        <v>17000</v>
      </c>
    </row>
    <row r="495" spans="1:17" outlineLevel="6" x14ac:dyDescent="0.4">
      <c r="A495" s="70">
        <v>10</v>
      </c>
      <c r="B495" s="3">
        <v>500</v>
      </c>
      <c r="C495" s="3">
        <v>0</v>
      </c>
      <c r="D495" s="3">
        <v>2234</v>
      </c>
      <c r="E495" s="3">
        <v>110</v>
      </c>
      <c r="F495" s="3">
        <v>210</v>
      </c>
      <c r="G495" s="3">
        <v>0</v>
      </c>
      <c r="H495" s="31" t="s">
        <v>270</v>
      </c>
      <c r="I495" s="32">
        <v>10641</v>
      </c>
      <c r="J495" s="32">
        <v>5000</v>
      </c>
      <c r="K495" s="40">
        <v>5000</v>
      </c>
      <c r="L495" s="40">
        <v>5000</v>
      </c>
      <c r="M495" s="451">
        <f>N495-K495</f>
        <v>0</v>
      </c>
      <c r="N495" s="417">
        <v>5000</v>
      </c>
      <c r="O495" s="29" t="s">
        <v>1467</v>
      </c>
      <c r="Q495" s="509"/>
    </row>
    <row r="496" spans="1:17" outlineLevel="6" x14ac:dyDescent="0.4">
      <c r="A496" s="70">
        <v>10</v>
      </c>
      <c r="B496" s="3">
        <v>500</v>
      </c>
      <c r="C496" s="3">
        <v>0</v>
      </c>
      <c r="D496" s="3">
        <v>2234</v>
      </c>
      <c r="E496" s="3" t="s">
        <v>455</v>
      </c>
      <c r="F496" s="3">
        <v>210</v>
      </c>
      <c r="G496" s="3">
        <v>0</v>
      </c>
      <c r="H496" s="31" t="s">
        <v>223</v>
      </c>
      <c r="I496" s="32">
        <v>14</v>
      </c>
      <c r="J496" s="32">
        <v>0</v>
      </c>
      <c r="K496" s="40">
        <v>0</v>
      </c>
      <c r="L496" s="40">
        <v>0</v>
      </c>
      <c r="M496" s="451">
        <f t="shared" ref="M496:M500" si="104">N496-K496</f>
        <v>0</v>
      </c>
      <c r="N496" s="417">
        <v>0</v>
      </c>
    </row>
    <row r="497" spans="1:17" outlineLevel="6" x14ac:dyDescent="0.4">
      <c r="A497" s="70">
        <v>10</v>
      </c>
      <c r="B497" s="3">
        <v>500</v>
      </c>
      <c r="C497" s="3">
        <v>0</v>
      </c>
      <c r="D497" s="3">
        <v>2234</v>
      </c>
      <c r="E497" s="3" t="s">
        <v>533</v>
      </c>
      <c r="F497" s="3">
        <v>210</v>
      </c>
      <c r="G497" s="3">
        <v>0</v>
      </c>
      <c r="H497" s="31" t="s">
        <v>273</v>
      </c>
      <c r="I497" s="32">
        <v>31</v>
      </c>
      <c r="J497" s="32">
        <v>13</v>
      </c>
      <c r="K497" s="40">
        <v>15</v>
      </c>
      <c r="L497" s="40">
        <v>15</v>
      </c>
      <c r="M497" s="451">
        <f t="shared" si="104"/>
        <v>0</v>
      </c>
      <c r="N497" s="417">
        <v>15</v>
      </c>
    </row>
    <row r="498" spans="1:17" outlineLevel="6" x14ac:dyDescent="0.4">
      <c r="A498" s="70">
        <v>10</v>
      </c>
      <c r="B498" s="3">
        <v>500</v>
      </c>
      <c r="C498" s="3">
        <v>0</v>
      </c>
      <c r="D498" s="3">
        <v>2234</v>
      </c>
      <c r="E498" s="3">
        <v>221</v>
      </c>
      <c r="F498" s="3">
        <v>210</v>
      </c>
      <c r="G498" s="3">
        <v>0</v>
      </c>
      <c r="H498" s="31" t="s">
        <v>271</v>
      </c>
      <c r="I498" s="32">
        <v>152</v>
      </c>
      <c r="J498" s="32">
        <v>65</v>
      </c>
      <c r="K498" s="40">
        <v>73</v>
      </c>
      <c r="L498" s="40">
        <v>73</v>
      </c>
      <c r="M498" s="451">
        <f t="shared" si="104"/>
        <v>0</v>
      </c>
      <c r="N498" s="417">
        <v>73</v>
      </c>
    </row>
    <row r="499" spans="1:17" outlineLevel="6" x14ac:dyDescent="0.4">
      <c r="A499" s="70">
        <v>10</v>
      </c>
      <c r="B499" s="3">
        <v>500</v>
      </c>
      <c r="C499" s="3">
        <v>0</v>
      </c>
      <c r="D499" s="3">
        <v>2234</v>
      </c>
      <c r="E499" s="3">
        <v>230</v>
      </c>
      <c r="F499" s="3">
        <v>210</v>
      </c>
      <c r="G499" s="3">
        <v>0</v>
      </c>
      <c r="H499" s="31" t="s">
        <v>272</v>
      </c>
      <c r="I499" s="32">
        <v>2067</v>
      </c>
      <c r="J499" s="32">
        <v>907</v>
      </c>
      <c r="K499" s="40">
        <v>1008</v>
      </c>
      <c r="L499" s="40">
        <v>1020</v>
      </c>
      <c r="M499" s="451">
        <f t="shared" si="104"/>
        <v>12</v>
      </c>
      <c r="N499" s="417">
        <v>1020</v>
      </c>
    </row>
    <row r="500" spans="1:17" outlineLevel="6" x14ac:dyDescent="0.4">
      <c r="A500" s="70">
        <v>10</v>
      </c>
      <c r="B500" s="3">
        <v>500</v>
      </c>
      <c r="C500" s="3">
        <v>0</v>
      </c>
      <c r="D500" s="3">
        <v>2234</v>
      </c>
      <c r="E500" s="3" t="s">
        <v>450</v>
      </c>
      <c r="F500" s="3">
        <v>210</v>
      </c>
      <c r="G500" s="3">
        <v>0</v>
      </c>
      <c r="H500" s="31" t="s">
        <v>232</v>
      </c>
      <c r="I500" s="32">
        <v>1184</v>
      </c>
      <c r="J500" s="32">
        <v>0</v>
      </c>
      <c r="K500" s="40">
        <v>0</v>
      </c>
      <c r="L500" s="40">
        <v>0</v>
      </c>
      <c r="M500" s="451">
        <f t="shared" si="104"/>
        <v>0</v>
      </c>
      <c r="N500" s="417">
        <v>0</v>
      </c>
    </row>
    <row r="501" spans="1:17" ht="27" outlineLevel="6" thickBot="1" x14ac:dyDescent="0.45">
      <c r="A501" s="70">
        <v>10</v>
      </c>
      <c r="B501" s="3">
        <v>500</v>
      </c>
      <c r="C501" s="3">
        <v>0</v>
      </c>
      <c r="D501" s="3">
        <v>2234</v>
      </c>
      <c r="E501" s="3" t="s">
        <v>2287</v>
      </c>
      <c r="F501" s="3">
        <v>210</v>
      </c>
      <c r="G501" s="3" t="s">
        <v>2285</v>
      </c>
      <c r="H501" s="31" t="s">
        <v>2424</v>
      </c>
      <c r="I501" s="32">
        <v>0</v>
      </c>
      <c r="J501" s="32">
        <v>132</v>
      </c>
      <c r="K501" s="40">
        <v>0</v>
      </c>
      <c r="L501" s="40">
        <v>0</v>
      </c>
      <c r="M501" s="451">
        <f t="shared" ref="M501" si="105">N501-K501</f>
        <v>132</v>
      </c>
      <c r="N501" s="417">
        <v>132</v>
      </c>
      <c r="Q501" s="509"/>
    </row>
    <row r="502" spans="1:17" ht="27" outlineLevel="5" thickBot="1" x14ac:dyDescent="0.45">
      <c r="A502" s="71"/>
      <c r="B502" s="6"/>
      <c r="C502" s="6"/>
      <c r="D502" s="9" t="s">
        <v>274</v>
      </c>
      <c r="E502" s="6"/>
      <c r="F502" s="6"/>
      <c r="G502" s="6"/>
      <c r="H502" s="41"/>
      <c r="I502" s="42">
        <f>SUBTOTAL(9,I495:I501)</f>
        <v>14089</v>
      </c>
      <c r="J502" s="42">
        <f>SUBTOTAL(9,J495:J501)</f>
        <v>6117</v>
      </c>
      <c r="K502" s="43">
        <f>SUBTOTAL(9,K495:K501)</f>
        <v>6096</v>
      </c>
      <c r="L502" s="43">
        <f>SUBTOTAL(9,L495:L501)</f>
        <v>6108</v>
      </c>
      <c r="M502" s="453">
        <f>N502-K502</f>
        <v>144</v>
      </c>
      <c r="N502" s="237">
        <f>SUBTOTAL(9,N495:N501)</f>
        <v>6240</v>
      </c>
    </row>
    <row r="503" spans="1:17" outlineLevel="6" x14ac:dyDescent="0.4">
      <c r="A503" s="70">
        <v>10</v>
      </c>
      <c r="B503" s="3">
        <v>500</v>
      </c>
      <c r="C503" s="3">
        <v>0</v>
      </c>
      <c r="D503" s="3">
        <v>2400</v>
      </c>
      <c r="E503" s="3">
        <v>110</v>
      </c>
      <c r="F503" s="3">
        <v>105</v>
      </c>
      <c r="G503" s="3">
        <v>0</v>
      </c>
      <c r="H503" s="31" t="s">
        <v>275</v>
      </c>
      <c r="I503" s="32">
        <v>65666</v>
      </c>
      <c r="J503" s="32">
        <v>71886</v>
      </c>
      <c r="K503" s="40">
        <f>65000+200</f>
        <v>65200</v>
      </c>
      <c r="L503" s="40">
        <v>65200</v>
      </c>
      <c r="M503" s="451">
        <f>N503-K503</f>
        <v>0</v>
      </c>
      <c r="N503" s="417">
        <f>65000+200</f>
        <v>65200</v>
      </c>
      <c r="O503" s="29" t="s">
        <v>1567</v>
      </c>
    </row>
    <row r="504" spans="1:17" outlineLevel="6" x14ac:dyDescent="0.4">
      <c r="A504" s="70">
        <v>10</v>
      </c>
      <c r="B504" s="3">
        <v>500</v>
      </c>
      <c r="C504" s="3">
        <v>0</v>
      </c>
      <c r="D504" s="3">
        <v>2400</v>
      </c>
      <c r="E504" s="3">
        <v>110</v>
      </c>
      <c r="F504" s="3" t="s">
        <v>494</v>
      </c>
      <c r="G504" s="3">
        <v>0</v>
      </c>
      <c r="H504" s="31" t="s">
        <v>1468</v>
      </c>
      <c r="I504" s="32">
        <v>0</v>
      </c>
      <c r="J504" s="32">
        <v>1602</v>
      </c>
      <c r="K504" s="40">
        <v>0</v>
      </c>
      <c r="L504" s="40">
        <f>4561+40</f>
        <v>4601</v>
      </c>
      <c r="M504" s="451">
        <f t="shared" ref="M504:M534" si="106">N504-K504</f>
        <v>4601</v>
      </c>
      <c r="N504" s="417">
        <v>4601</v>
      </c>
      <c r="O504" s="29" t="s">
        <v>1564</v>
      </c>
    </row>
    <row r="505" spans="1:17" outlineLevel="6" x14ac:dyDescent="0.4">
      <c r="A505" s="70">
        <v>10</v>
      </c>
      <c r="B505" s="3">
        <v>500</v>
      </c>
      <c r="C505" s="3">
        <v>0</v>
      </c>
      <c r="D505" s="3">
        <v>2400</v>
      </c>
      <c r="E505" s="3">
        <v>110</v>
      </c>
      <c r="F505" s="3">
        <v>506</v>
      </c>
      <c r="G505" s="3">
        <v>0</v>
      </c>
      <c r="H505" s="31" t="s">
        <v>276</v>
      </c>
      <c r="I505" s="32">
        <v>38051</v>
      </c>
      <c r="J505" s="32">
        <v>29453</v>
      </c>
      <c r="K505" s="40">
        <f>31000+200</f>
        <v>31200</v>
      </c>
      <c r="L505" s="40">
        <v>29000</v>
      </c>
      <c r="M505" s="451">
        <f t="shared" si="106"/>
        <v>-2200</v>
      </c>
      <c r="N505" s="417">
        <v>29000</v>
      </c>
      <c r="O505" s="29" t="s">
        <v>1476</v>
      </c>
    </row>
    <row r="506" spans="1:17" outlineLevel="6" x14ac:dyDescent="0.4">
      <c r="A506" s="70">
        <v>10</v>
      </c>
      <c r="B506" s="3">
        <v>500</v>
      </c>
      <c r="C506" s="3">
        <v>0</v>
      </c>
      <c r="D506" s="3">
        <v>2400</v>
      </c>
      <c r="E506" s="3">
        <v>120</v>
      </c>
      <c r="F506" s="3" t="s">
        <v>1263</v>
      </c>
      <c r="G506" s="3">
        <v>0</v>
      </c>
      <c r="H506" s="31" t="s">
        <v>277</v>
      </c>
      <c r="I506" s="32">
        <v>0</v>
      </c>
      <c r="J506" s="32">
        <v>0</v>
      </c>
      <c r="K506" s="147">
        <v>4000</v>
      </c>
      <c r="L506" s="40">
        <v>4000</v>
      </c>
      <c r="M506" s="451">
        <f t="shared" si="106"/>
        <v>-1000</v>
      </c>
      <c r="N506" s="418">
        <v>3000</v>
      </c>
    </row>
    <row r="507" spans="1:17" outlineLevel="6" x14ac:dyDescent="0.4">
      <c r="A507" s="70">
        <v>10</v>
      </c>
      <c r="B507" s="3">
        <v>500</v>
      </c>
      <c r="C507" s="3">
        <v>0</v>
      </c>
      <c r="D507" s="3">
        <v>2400</v>
      </c>
      <c r="E507" s="3">
        <v>210</v>
      </c>
      <c r="F507" s="3">
        <v>105</v>
      </c>
      <c r="G507" s="3">
        <v>0</v>
      </c>
      <c r="H507" s="31" t="s">
        <v>278</v>
      </c>
      <c r="I507" s="32">
        <v>66</v>
      </c>
      <c r="J507" s="32">
        <v>60</v>
      </c>
      <c r="K507" s="40">
        <v>66</v>
      </c>
      <c r="L507" s="40">
        <v>66</v>
      </c>
      <c r="M507" s="451">
        <f t="shared" si="106"/>
        <v>0</v>
      </c>
      <c r="N507" s="417">
        <v>66</v>
      </c>
    </row>
    <row r="508" spans="1:17" outlineLevel="6" x14ac:dyDescent="0.4">
      <c r="A508" s="70">
        <v>10</v>
      </c>
      <c r="B508" s="3">
        <v>500</v>
      </c>
      <c r="C508" s="3">
        <v>0</v>
      </c>
      <c r="D508" s="3">
        <v>2400</v>
      </c>
      <c r="E508" s="3">
        <v>210</v>
      </c>
      <c r="F508" s="3" t="s">
        <v>494</v>
      </c>
      <c r="G508" s="3">
        <v>0</v>
      </c>
      <c r="H508" s="31" t="s">
        <v>1469</v>
      </c>
      <c r="I508" s="32">
        <v>0</v>
      </c>
      <c r="J508" s="32">
        <v>11</v>
      </c>
      <c r="K508" s="40">
        <v>0</v>
      </c>
      <c r="L508" s="40">
        <v>14</v>
      </c>
      <c r="M508" s="451">
        <f t="shared" si="106"/>
        <v>14</v>
      </c>
      <c r="N508" s="417">
        <v>14</v>
      </c>
    </row>
    <row r="509" spans="1:17" outlineLevel="6" x14ac:dyDescent="0.4">
      <c r="A509" s="70">
        <v>10</v>
      </c>
      <c r="B509" s="3">
        <v>500</v>
      </c>
      <c r="C509" s="3">
        <v>0</v>
      </c>
      <c r="D509" s="3">
        <v>2400</v>
      </c>
      <c r="E509" s="3">
        <v>210</v>
      </c>
      <c r="F509" s="3">
        <v>506</v>
      </c>
      <c r="G509" s="3">
        <v>0</v>
      </c>
      <c r="H509" s="31" t="s">
        <v>279</v>
      </c>
      <c r="I509" s="32">
        <v>77</v>
      </c>
      <c r="J509" s="32">
        <v>55</v>
      </c>
      <c r="K509" s="40">
        <v>66</v>
      </c>
      <c r="L509" s="40">
        <v>66</v>
      </c>
      <c r="M509" s="451">
        <f t="shared" si="106"/>
        <v>0</v>
      </c>
      <c r="N509" s="417">
        <v>66</v>
      </c>
    </row>
    <row r="510" spans="1:17" outlineLevel="6" x14ac:dyDescent="0.4">
      <c r="A510" s="70">
        <v>10</v>
      </c>
      <c r="B510" s="3">
        <v>500</v>
      </c>
      <c r="C510" s="3">
        <v>0</v>
      </c>
      <c r="D510" s="3">
        <v>2400</v>
      </c>
      <c r="E510" s="3">
        <v>215</v>
      </c>
      <c r="F510" s="3">
        <v>105</v>
      </c>
      <c r="G510" s="3">
        <v>0</v>
      </c>
      <c r="H510" s="31" t="s">
        <v>1471</v>
      </c>
      <c r="I510" s="32">
        <v>173</v>
      </c>
      <c r="J510" s="32">
        <v>202</v>
      </c>
      <c r="K510" s="40">
        <f>195+1</f>
        <v>196</v>
      </c>
      <c r="L510" s="40">
        <v>208</v>
      </c>
      <c r="M510" s="451">
        <f t="shared" si="106"/>
        <v>12</v>
      </c>
      <c r="N510" s="417">
        <v>208</v>
      </c>
    </row>
    <row r="511" spans="1:17" outlineLevel="6" x14ac:dyDescent="0.4">
      <c r="A511" s="70">
        <v>10</v>
      </c>
      <c r="B511" s="3">
        <v>500</v>
      </c>
      <c r="C511" s="3">
        <v>0</v>
      </c>
      <c r="D511" s="3">
        <v>2400</v>
      </c>
      <c r="E511" s="3">
        <v>215</v>
      </c>
      <c r="F511" s="3" t="s">
        <v>494</v>
      </c>
      <c r="G511" s="3">
        <v>0</v>
      </c>
      <c r="H511" s="31" t="s">
        <v>1470</v>
      </c>
      <c r="I511" s="32">
        <v>0</v>
      </c>
      <c r="J511" s="32">
        <v>5</v>
      </c>
      <c r="K511" s="40">
        <v>0</v>
      </c>
      <c r="L511" s="40">
        <v>12</v>
      </c>
      <c r="M511" s="451">
        <f t="shared" si="106"/>
        <v>12</v>
      </c>
      <c r="N511" s="417">
        <v>12</v>
      </c>
    </row>
    <row r="512" spans="1:17" outlineLevel="6" x14ac:dyDescent="0.4">
      <c r="A512" s="70">
        <v>10</v>
      </c>
      <c r="B512" s="3">
        <v>500</v>
      </c>
      <c r="C512" s="3">
        <v>0</v>
      </c>
      <c r="D512" s="3">
        <v>2400</v>
      </c>
      <c r="E512" s="3">
        <v>215</v>
      </c>
      <c r="F512" s="3">
        <v>506</v>
      </c>
      <c r="G512" s="3">
        <v>0</v>
      </c>
      <c r="H512" s="31" t="s">
        <v>1472</v>
      </c>
      <c r="I512" s="32">
        <v>98</v>
      </c>
      <c r="J512" s="32">
        <v>88</v>
      </c>
      <c r="K512" s="40">
        <f>93+1</f>
        <v>94</v>
      </c>
      <c r="L512" s="40">
        <v>87</v>
      </c>
      <c r="M512" s="451">
        <f t="shared" si="106"/>
        <v>-7</v>
      </c>
      <c r="N512" s="417">
        <v>87</v>
      </c>
    </row>
    <row r="513" spans="1:14" outlineLevel="6" x14ac:dyDescent="0.4">
      <c r="A513" s="70">
        <v>10</v>
      </c>
      <c r="B513" s="3">
        <v>500</v>
      </c>
      <c r="C513" s="3">
        <v>0</v>
      </c>
      <c r="D513" s="3">
        <v>2400</v>
      </c>
      <c r="E513" s="3">
        <v>221</v>
      </c>
      <c r="F513" s="3">
        <v>105</v>
      </c>
      <c r="G513" s="3">
        <v>0</v>
      </c>
      <c r="H513" s="31" t="s">
        <v>280</v>
      </c>
      <c r="I513" s="32">
        <v>835</v>
      </c>
      <c r="J513" s="32">
        <v>979</v>
      </c>
      <c r="K513" s="40">
        <f>943+3</f>
        <v>946</v>
      </c>
      <c r="L513" s="40">
        <v>1004</v>
      </c>
      <c r="M513" s="451">
        <f t="shared" si="106"/>
        <v>58</v>
      </c>
      <c r="N513" s="417">
        <v>1004</v>
      </c>
    </row>
    <row r="514" spans="1:14" outlineLevel="6" x14ac:dyDescent="0.4">
      <c r="A514" s="70">
        <v>10</v>
      </c>
      <c r="B514" s="3">
        <v>500</v>
      </c>
      <c r="C514" s="3">
        <v>0</v>
      </c>
      <c r="D514" s="3">
        <v>2400</v>
      </c>
      <c r="E514" s="3">
        <v>221</v>
      </c>
      <c r="F514" s="3" t="s">
        <v>494</v>
      </c>
      <c r="G514" s="3">
        <v>0</v>
      </c>
      <c r="H514" s="31" t="s">
        <v>1473</v>
      </c>
      <c r="I514" s="32">
        <v>0</v>
      </c>
      <c r="J514" s="32">
        <v>22</v>
      </c>
      <c r="K514" s="40">
        <v>0</v>
      </c>
      <c r="L514" s="40">
        <v>67</v>
      </c>
      <c r="M514" s="451">
        <f t="shared" si="106"/>
        <v>67</v>
      </c>
      <c r="N514" s="417">
        <v>67</v>
      </c>
    </row>
    <row r="515" spans="1:14" outlineLevel="6" x14ac:dyDescent="0.4">
      <c r="A515" s="70">
        <v>10</v>
      </c>
      <c r="B515" s="3">
        <v>500</v>
      </c>
      <c r="C515" s="3">
        <v>0</v>
      </c>
      <c r="D515" s="3">
        <v>2400</v>
      </c>
      <c r="E515" s="3">
        <v>221</v>
      </c>
      <c r="F515" s="3">
        <v>506</v>
      </c>
      <c r="G515" s="3">
        <v>0</v>
      </c>
      <c r="H515" s="31" t="s">
        <v>281</v>
      </c>
      <c r="I515" s="32">
        <v>467</v>
      </c>
      <c r="J515" s="32">
        <v>425</v>
      </c>
      <c r="K515" s="40">
        <f>450+3</f>
        <v>453</v>
      </c>
      <c r="L515" s="40">
        <v>421</v>
      </c>
      <c r="M515" s="451">
        <f t="shared" si="106"/>
        <v>-32</v>
      </c>
      <c r="N515" s="417">
        <v>421</v>
      </c>
    </row>
    <row r="516" spans="1:14" outlineLevel="6" x14ac:dyDescent="0.4">
      <c r="A516" s="70">
        <v>10</v>
      </c>
      <c r="B516" s="3">
        <v>500</v>
      </c>
      <c r="C516" s="3">
        <v>0</v>
      </c>
      <c r="D516" s="3">
        <v>2400</v>
      </c>
      <c r="E516" s="3">
        <v>230</v>
      </c>
      <c r="F516" s="3">
        <v>105</v>
      </c>
      <c r="G516" s="3">
        <v>0</v>
      </c>
      <c r="H516" s="31" t="s">
        <v>282</v>
      </c>
      <c r="I516" s="32">
        <v>10819</v>
      </c>
      <c r="J516" s="32">
        <v>13561</v>
      </c>
      <c r="K516" s="40">
        <v>13904</v>
      </c>
      <c r="L516" s="40">
        <v>14117</v>
      </c>
      <c r="M516" s="451">
        <f t="shared" si="106"/>
        <v>213</v>
      </c>
      <c r="N516" s="417">
        <v>14117</v>
      </c>
    </row>
    <row r="517" spans="1:14" outlineLevel="6" x14ac:dyDescent="0.4">
      <c r="A517" s="70">
        <v>10</v>
      </c>
      <c r="B517" s="3">
        <v>500</v>
      </c>
      <c r="C517" s="3">
        <v>0</v>
      </c>
      <c r="D517" s="3">
        <v>2400</v>
      </c>
      <c r="E517" s="3">
        <v>230</v>
      </c>
      <c r="F517" s="3" t="s">
        <v>494</v>
      </c>
      <c r="G517" s="3">
        <v>0</v>
      </c>
      <c r="H517" s="31" t="s">
        <v>1474</v>
      </c>
      <c r="I517" s="32">
        <v>0</v>
      </c>
      <c r="J517" s="32">
        <v>305</v>
      </c>
      <c r="K517" s="40">
        <v>0</v>
      </c>
      <c r="L517" s="40">
        <v>939</v>
      </c>
      <c r="M517" s="451">
        <f t="shared" si="106"/>
        <v>939</v>
      </c>
      <c r="N517" s="417">
        <v>939</v>
      </c>
    </row>
    <row r="518" spans="1:14" outlineLevel="6" x14ac:dyDescent="0.4">
      <c r="A518" s="70">
        <v>10</v>
      </c>
      <c r="B518" s="3">
        <v>500</v>
      </c>
      <c r="C518" s="3">
        <v>0</v>
      </c>
      <c r="D518" s="3">
        <v>2400</v>
      </c>
      <c r="E518" s="3">
        <v>230</v>
      </c>
      <c r="F518" s="3">
        <v>506</v>
      </c>
      <c r="G518" s="3">
        <v>0</v>
      </c>
      <c r="H518" s="31" t="s">
        <v>283</v>
      </c>
      <c r="I518" s="32">
        <v>6374</v>
      </c>
      <c r="J518" s="32">
        <v>5870</v>
      </c>
      <c r="K518" s="40">
        <v>6247</v>
      </c>
      <c r="L518" s="40">
        <v>5916</v>
      </c>
      <c r="M518" s="451">
        <f t="shared" si="106"/>
        <v>-331</v>
      </c>
      <c r="N518" s="417">
        <v>5916</v>
      </c>
    </row>
    <row r="519" spans="1:14" outlineLevel="6" x14ac:dyDescent="0.4">
      <c r="A519" s="70">
        <v>10</v>
      </c>
      <c r="B519" s="3">
        <v>500</v>
      </c>
      <c r="C519" s="3">
        <v>0</v>
      </c>
      <c r="D519" s="3">
        <v>2400</v>
      </c>
      <c r="E519" s="3">
        <v>250</v>
      </c>
      <c r="F519" s="3">
        <v>105</v>
      </c>
      <c r="G519" s="3">
        <v>0</v>
      </c>
      <c r="H519" s="31" t="s">
        <v>284</v>
      </c>
      <c r="I519" s="32">
        <v>6417</v>
      </c>
      <c r="J519" s="32">
        <v>5389</v>
      </c>
      <c r="K519" s="40">
        <v>5879</v>
      </c>
      <c r="L519" s="40">
        <v>6132</v>
      </c>
      <c r="M519" s="451">
        <f t="shared" si="106"/>
        <v>253</v>
      </c>
      <c r="N519" s="417">
        <v>6132</v>
      </c>
    </row>
    <row r="520" spans="1:14" outlineLevel="6" x14ac:dyDescent="0.4">
      <c r="A520" s="70">
        <v>10</v>
      </c>
      <c r="B520" s="3">
        <v>500</v>
      </c>
      <c r="C520" s="3">
        <v>0</v>
      </c>
      <c r="D520" s="3">
        <v>2400</v>
      </c>
      <c r="E520" s="3">
        <v>250</v>
      </c>
      <c r="F520" s="3" t="s">
        <v>494</v>
      </c>
      <c r="G520" s="3">
        <v>0</v>
      </c>
      <c r="H520" s="31" t="s">
        <v>1475</v>
      </c>
      <c r="I520" s="32">
        <v>0</v>
      </c>
      <c r="J520" s="32">
        <v>1004</v>
      </c>
      <c r="K520" s="40">
        <v>0</v>
      </c>
      <c r="L520" s="40">
        <v>1227</v>
      </c>
      <c r="M520" s="451">
        <f t="shared" si="106"/>
        <v>1227</v>
      </c>
      <c r="N520" s="417">
        <v>1227</v>
      </c>
    </row>
    <row r="521" spans="1:14" outlineLevel="6" x14ac:dyDescent="0.4">
      <c r="A521" s="70">
        <v>10</v>
      </c>
      <c r="B521" s="3">
        <v>500</v>
      </c>
      <c r="C521" s="3">
        <v>0</v>
      </c>
      <c r="D521" s="3">
        <v>2400</v>
      </c>
      <c r="E521" s="3">
        <v>250</v>
      </c>
      <c r="F521" s="3">
        <v>506</v>
      </c>
      <c r="G521" s="3">
        <v>0</v>
      </c>
      <c r="H521" s="31" t="s">
        <v>285</v>
      </c>
      <c r="I521" s="32">
        <v>5686</v>
      </c>
      <c r="J521" s="32">
        <v>4993</v>
      </c>
      <c r="K521" s="40">
        <v>5879</v>
      </c>
      <c r="L521" s="40">
        <v>6132</v>
      </c>
      <c r="M521" s="451">
        <f t="shared" si="106"/>
        <v>253</v>
      </c>
      <c r="N521" s="417">
        <v>6132</v>
      </c>
    </row>
    <row r="522" spans="1:14" outlineLevel="6" x14ac:dyDescent="0.4">
      <c r="A522" s="70">
        <v>10</v>
      </c>
      <c r="B522" s="3">
        <v>500</v>
      </c>
      <c r="C522" s="3">
        <v>0</v>
      </c>
      <c r="D522" s="3">
        <v>2400</v>
      </c>
      <c r="E522" s="3" t="s">
        <v>2287</v>
      </c>
      <c r="F522" s="3">
        <v>105</v>
      </c>
      <c r="G522" s="3" t="s">
        <v>2285</v>
      </c>
      <c r="H522" s="31" t="s">
        <v>2425</v>
      </c>
      <c r="I522" s="32">
        <v>0</v>
      </c>
      <c r="J522" s="32">
        <v>1726</v>
      </c>
      <c r="K522" s="40">
        <v>0</v>
      </c>
      <c r="L522" s="40">
        <v>0</v>
      </c>
      <c r="M522" s="451">
        <f t="shared" ref="M522" si="107">N522-K522</f>
        <v>1956</v>
      </c>
      <c r="N522" s="417">
        <v>1956</v>
      </c>
    </row>
    <row r="523" spans="1:14" outlineLevel="6" x14ac:dyDescent="0.4">
      <c r="A523" s="70">
        <v>10</v>
      </c>
      <c r="B523" s="3">
        <v>500</v>
      </c>
      <c r="C523" s="3">
        <v>0</v>
      </c>
      <c r="D523" s="3">
        <v>2400</v>
      </c>
      <c r="E523" s="3" t="s">
        <v>2287</v>
      </c>
      <c r="F523" s="3" t="s">
        <v>494</v>
      </c>
      <c r="G523" s="3" t="s">
        <v>2285</v>
      </c>
      <c r="H523" s="31" t="s">
        <v>2426</v>
      </c>
      <c r="I523" s="32">
        <v>0</v>
      </c>
      <c r="J523" s="32">
        <v>0</v>
      </c>
      <c r="K523" s="40">
        <v>0</v>
      </c>
      <c r="L523" s="40">
        <v>0</v>
      </c>
      <c r="M523" s="451">
        <f t="shared" ref="M523" si="108">N523-K523</f>
        <v>138</v>
      </c>
      <c r="N523" s="417">
        <v>138</v>
      </c>
    </row>
    <row r="524" spans="1:14" outlineLevel="6" x14ac:dyDescent="0.4">
      <c r="A524" s="70">
        <v>10</v>
      </c>
      <c r="B524" s="3">
        <v>500</v>
      </c>
      <c r="C524" s="3">
        <v>0</v>
      </c>
      <c r="D524" s="3">
        <v>2400</v>
      </c>
      <c r="E524" s="3" t="s">
        <v>2287</v>
      </c>
      <c r="F524" s="3" t="s">
        <v>1328</v>
      </c>
      <c r="G524" s="3" t="s">
        <v>2285</v>
      </c>
      <c r="H524" s="31" t="s">
        <v>2427</v>
      </c>
      <c r="I524" s="32">
        <v>0</v>
      </c>
      <c r="J524" s="32">
        <v>771</v>
      </c>
      <c r="K524" s="40">
        <v>0</v>
      </c>
      <c r="L524" s="40">
        <v>0</v>
      </c>
      <c r="M524" s="451">
        <f t="shared" ref="M524" si="109">N524-K524</f>
        <v>870</v>
      </c>
      <c r="N524" s="417">
        <v>870</v>
      </c>
    </row>
    <row r="525" spans="1:14" outlineLevel="6" x14ac:dyDescent="0.4">
      <c r="A525" s="70">
        <v>10</v>
      </c>
      <c r="B525" s="3">
        <v>500</v>
      </c>
      <c r="C525" s="3">
        <v>0</v>
      </c>
      <c r="D525" s="3">
        <v>2400</v>
      </c>
      <c r="E525" s="3">
        <v>334</v>
      </c>
      <c r="F525" s="3">
        <v>0</v>
      </c>
      <c r="G525" s="3">
        <v>0</v>
      </c>
      <c r="H525" s="31" t="s">
        <v>286</v>
      </c>
      <c r="I525" s="32">
        <v>2123</v>
      </c>
      <c r="J525" s="32">
        <v>4458</v>
      </c>
      <c r="K525" s="40">
        <v>5000</v>
      </c>
      <c r="L525" s="40">
        <v>5000</v>
      </c>
      <c r="M525" s="451">
        <f t="shared" si="106"/>
        <v>0</v>
      </c>
      <c r="N525" s="417">
        <v>5000</v>
      </c>
    </row>
    <row r="526" spans="1:14" outlineLevel="6" x14ac:dyDescent="0.4">
      <c r="A526" s="70">
        <v>10</v>
      </c>
      <c r="B526" s="3">
        <v>500</v>
      </c>
      <c r="C526" s="3">
        <v>0</v>
      </c>
      <c r="D526" s="3">
        <v>2400</v>
      </c>
      <c r="E526" s="3">
        <v>334</v>
      </c>
      <c r="F526" s="3">
        <v>0</v>
      </c>
      <c r="G526" s="3" t="s">
        <v>1323</v>
      </c>
      <c r="H526" s="31" t="s">
        <v>2355</v>
      </c>
      <c r="I526" s="32">
        <v>0</v>
      </c>
      <c r="J526" s="32">
        <v>0</v>
      </c>
      <c r="K526" s="40">
        <v>0</v>
      </c>
      <c r="L526" s="40">
        <v>0</v>
      </c>
      <c r="M526" s="451">
        <f t="shared" ref="M526" si="110">N526-K526</f>
        <v>6500</v>
      </c>
      <c r="N526" s="417">
        <v>6500</v>
      </c>
    </row>
    <row r="527" spans="1:14" outlineLevel="6" x14ac:dyDescent="0.4">
      <c r="A527" s="70">
        <v>10</v>
      </c>
      <c r="B527" s="3">
        <v>500</v>
      </c>
      <c r="C527" s="3">
        <v>0</v>
      </c>
      <c r="D527" s="3">
        <v>2400</v>
      </c>
      <c r="E527" s="3">
        <v>531</v>
      </c>
      <c r="F527" s="3">
        <v>0</v>
      </c>
      <c r="G527" s="3">
        <v>0</v>
      </c>
      <c r="H527" s="31" t="s">
        <v>287</v>
      </c>
      <c r="I527" s="32">
        <v>2399</v>
      </c>
      <c r="J527" s="32">
        <v>4355</v>
      </c>
      <c r="K527" s="40">
        <v>3000</v>
      </c>
      <c r="L527" s="40">
        <v>3000</v>
      </c>
      <c r="M527" s="451">
        <f t="shared" si="106"/>
        <v>0</v>
      </c>
      <c r="N527" s="417">
        <v>3000</v>
      </c>
    </row>
    <row r="528" spans="1:14" outlineLevel="6" x14ac:dyDescent="0.4">
      <c r="A528" s="70">
        <v>10</v>
      </c>
      <c r="B528" s="3">
        <v>500</v>
      </c>
      <c r="C528" s="3">
        <v>0</v>
      </c>
      <c r="D528" s="3">
        <v>2400</v>
      </c>
      <c r="E528" s="3">
        <v>533</v>
      </c>
      <c r="F528" s="3">
        <v>0</v>
      </c>
      <c r="G528" s="3">
        <v>0</v>
      </c>
      <c r="H528" s="31" t="s">
        <v>288</v>
      </c>
      <c r="I528" s="32">
        <v>973</v>
      </c>
      <c r="J528" s="32">
        <v>1007</v>
      </c>
      <c r="K528" s="40">
        <v>1000</v>
      </c>
      <c r="L528" s="40">
        <v>1000</v>
      </c>
      <c r="M528" s="451">
        <f t="shared" si="106"/>
        <v>0</v>
      </c>
      <c r="N528" s="417">
        <v>1000</v>
      </c>
    </row>
    <row r="529" spans="1:17" outlineLevel="6" x14ac:dyDescent="0.4">
      <c r="A529" s="70">
        <v>10</v>
      </c>
      <c r="B529" s="3">
        <v>500</v>
      </c>
      <c r="C529" s="3">
        <v>0</v>
      </c>
      <c r="D529" s="3">
        <v>2400</v>
      </c>
      <c r="E529" s="3">
        <v>580</v>
      </c>
      <c r="F529" s="3">
        <v>0</v>
      </c>
      <c r="G529" s="3">
        <v>0</v>
      </c>
      <c r="H529" s="31" t="s">
        <v>289</v>
      </c>
      <c r="I529" s="32">
        <v>636</v>
      </c>
      <c r="J529" s="32">
        <v>1273</v>
      </c>
      <c r="K529" s="40">
        <v>1500</v>
      </c>
      <c r="L529" s="40">
        <v>1500</v>
      </c>
      <c r="M529" s="451">
        <f t="shared" si="106"/>
        <v>0</v>
      </c>
      <c r="N529" s="417">
        <v>1500</v>
      </c>
    </row>
    <row r="530" spans="1:17" outlineLevel="6" x14ac:dyDescent="0.4">
      <c r="A530" s="70">
        <v>10</v>
      </c>
      <c r="B530" s="3">
        <v>500</v>
      </c>
      <c r="C530" s="3">
        <v>0</v>
      </c>
      <c r="D530" s="3">
        <v>2400</v>
      </c>
      <c r="E530" s="3">
        <v>600</v>
      </c>
      <c r="F530" s="3">
        <v>0</v>
      </c>
      <c r="G530" s="3">
        <v>0</v>
      </c>
      <c r="H530" s="31" t="s">
        <v>290</v>
      </c>
      <c r="I530" s="32">
        <v>5151</v>
      </c>
      <c r="J530" s="32">
        <v>2232</v>
      </c>
      <c r="K530" s="40">
        <v>3500</v>
      </c>
      <c r="L530" s="40">
        <v>5000</v>
      </c>
      <c r="M530" s="451">
        <f t="shared" si="106"/>
        <v>1500</v>
      </c>
      <c r="N530" s="417">
        <v>5000</v>
      </c>
    </row>
    <row r="531" spans="1:17" outlineLevel="6" x14ac:dyDescent="0.4">
      <c r="A531" s="70">
        <v>10</v>
      </c>
      <c r="B531" s="3">
        <v>500</v>
      </c>
      <c r="C531" s="3">
        <v>0</v>
      </c>
      <c r="D531" s="3">
        <v>2400</v>
      </c>
      <c r="E531" s="3">
        <v>600</v>
      </c>
      <c r="F531" s="3">
        <v>0</v>
      </c>
      <c r="G531" s="3" t="s">
        <v>1323</v>
      </c>
      <c r="H531" s="31" t="s">
        <v>1364</v>
      </c>
      <c r="I531" s="32">
        <v>0</v>
      </c>
      <c r="J531" s="32">
        <v>1592</v>
      </c>
      <c r="K531" s="40">
        <v>1500</v>
      </c>
      <c r="L531" s="40">
        <v>0</v>
      </c>
      <c r="M531" s="451">
        <f t="shared" si="106"/>
        <v>-1500</v>
      </c>
      <c r="N531" s="417">
        <v>0</v>
      </c>
    </row>
    <row r="532" spans="1:17" outlineLevel="6" x14ac:dyDescent="0.4">
      <c r="A532" s="70">
        <v>10</v>
      </c>
      <c r="B532" s="3">
        <v>500</v>
      </c>
      <c r="C532" s="3">
        <v>0</v>
      </c>
      <c r="D532" s="3">
        <v>2400</v>
      </c>
      <c r="E532" s="3">
        <v>735</v>
      </c>
      <c r="F532" s="3">
        <v>0</v>
      </c>
      <c r="G532" s="3">
        <v>0</v>
      </c>
      <c r="H532" s="31" t="s">
        <v>291</v>
      </c>
      <c r="I532" s="32">
        <v>2000</v>
      </c>
      <c r="J532" s="32">
        <v>2000</v>
      </c>
      <c r="K532" s="40">
        <v>2000</v>
      </c>
      <c r="L532" s="40">
        <v>2000</v>
      </c>
      <c r="M532" s="451">
        <f t="shared" si="106"/>
        <v>0</v>
      </c>
      <c r="N532" s="417">
        <v>2000</v>
      </c>
    </row>
    <row r="533" spans="1:17" outlineLevel="6" x14ac:dyDescent="0.4">
      <c r="A533" s="70">
        <v>10</v>
      </c>
      <c r="B533" s="3">
        <v>500</v>
      </c>
      <c r="C533" s="3">
        <v>0</v>
      </c>
      <c r="D533" s="3">
        <v>2400</v>
      </c>
      <c r="E533" s="3">
        <v>735</v>
      </c>
      <c r="F533" s="3">
        <v>0</v>
      </c>
      <c r="G533" s="3" t="s">
        <v>1323</v>
      </c>
      <c r="H533" s="31" t="s">
        <v>1372</v>
      </c>
      <c r="I533" s="32">
        <v>0</v>
      </c>
      <c r="J533" s="32">
        <v>582</v>
      </c>
      <c r="K533" s="40">
        <v>1500</v>
      </c>
      <c r="L533" s="40">
        <v>0</v>
      </c>
      <c r="M533" s="451">
        <f t="shared" si="106"/>
        <v>-1500</v>
      </c>
      <c r="N533" s="417">
        <v>0</v>
      </c>
    </row>
    <row r="534" spans="1:17" ht="27" outlineLevel="6" thickBot="1" x14ac:dyDescent="0.45">
      <c r="A534" s="70">
        <v>10</v>
      </c>
      <c r="B534" s="3">
        <v>500</v>
      </c>
      <c r="C534" s="3">
        <v>0</v>
      </c>
      <c r="D534" s="3">
        <v>2400</v>
      </c>
      <c r="E534" s="3">
        <v>810</v>
      </c>
      <c r="F534" s="3">
        <v>0</v>
      </c>
      <c r="G534" s="3">
        <v>0</v>
      </c>
      <c r="H534" s="31" t="s">
        <v>292</v>
      </c>
      <c r="I534" s="32">
        <v>906</v>
      </c>
      <c r="J534" s="32">
        <v>0</v>
      </c>
      <c r="K534" s="40">
        <v>600</v>
      </c>
      <c r="L534" s="40">
        <v>600</v>
      </c>
      <c r="M534" s="451">
        <f t="shared" si="106"/>
        <v>0</v>
      </c>
      <c r="N534" s="417">
        <v>600</v>
      </c>
    </row>
    <row r="535" spans="1:17" ht="27" outlineLevel="5" thickBot="1" x14ac:dyDescent="0.45">
      <c r="A535" s="71"/>
      <c r="B535" s="6"/>
      <c r="C535" s="6"/>
      <c r="D535" s="9" t="s">
        <v>293</v>
      </c>
      <c r="E535" s="6"/>
      <c r="F535" s="6"/>
      <c r="G535" s="6"/>
      <c r="H535" s="41"/>
      <c r="I535" s="42">
        <f>SUBTOTAL(9,I503:I534)</f>
        <v>148917</v>
      </c>
      <c r="J535" s="42">
        <f>SUBTOTAL(9,J503:J534)</f>
        <v>155906</v>
      </c>
      <c r="K535" s="43">
        <f>SUBTOTAL(9,K503:K534)</f>
        <v>153730</v>
      </c>
      <c r="L535" s="43">
        <f>SUBTOTAL(9,L503:L534)</f>
        <v>157309</v>
      </c>
      <c r="M535" s="453">
        <f t="shared" ref="M535:M540" si="111">N535-K535</f>
        <v>12043</v>
      </c>
      <c r="N535" s="237">
        <f>SUBTOTAL(9,N503:N534)</f>
        <v>165773</v>
      </c>
    </row>
    <row r="536" spans="1:17" ht="27" outlineLevel="4" thickBot="1" x14ac:dyDescent="0.45">
      <c r="A536" s="75"/>
      <c r="B536" s="8" t="s">
        <v>166</v>
      </c>
      <c r="C536" s="8"/>
      <c r="D536" s="8"/>
      <c r="E536" s="8"/>
      <c r="F536" s="8"/>
      <c r="G536" s="8"/>
      <c r="H536" s="48"/>
      <c r="I536" s="49">
        <f>SUBTOTAL(9,I338:I534)</f>
        <v>379020</v>
      </c>
      <c r="J536" s="49">
        <f>SUBTOTAL(9,J338:J534)</f>
        <v>433929</v>
      </c>
      <c r="K536" s="47">
        <f>SUBTOTAL(9,K338:K535)</f>
        <v>456128</v>
      </c>
      <c r="L536" s="49">
        <f>SUBTOTAL(9,L338:L534)</f>
        <v>584907</v>
      </c>
      <c r="M536" s="455">
        <f t="shared" si="111"/>
        <v>315431</v>
      </c>
      <c r="N536" s="419">
        <f>SUBTOTAL(9,N338:N535)</f>
        <v>771559</v>
      </c>
    </row>
    <row r="537" spans="1:17" outlineLevel="6" x14ac:dyDescent="0.4">
      <c r="A537" s="70">
        <v>10</v>
      </c>
      <c r="B537" s="3">
        <v>509</v>
      </c>
      <c r="C537" s="3">
        <v>0</v>
      </c>
      <c r="D537" s="3" t="s">
        <v>525</v>
      </c>
      <c r="E537" s="3" t="s">
        <v>531</v>
      </c>
      <c r="F537" s="3">
        <v>0</v>
      </c>
      <c r="G537" s="3" t="s">
        <v>586</v>
      </c>
      <c r="H537" s="31" t="s">
        <v>1219</v>
      </c>
      <c r="I537" s="32">
        <v>553</v>
      </c>
      <c r="J537" s="32">
        <v>2722</v>
      </c>
      <c r="K537" s="346">
        <v>2623</v>
      </c>
      <c r="L537" s="141">
        <v>994</v>
      </c>
      <c r="M537" s="362">
        <f t="shared" si="111"/>
        <v>-1536</v>
      </c>
      <c r="N537" s="414">
        <v>1087</v>
      </c>
      <c r="Q537" s="509"/>
    </row>
    <row r="538" spans="1:17" ht="27" outlineLevel="6" thickBot="1" x14ac:dyDescent="0.45">
      <c r="A538" s="70">
        <v>10</v>
      </c>
      <c r="B538" s="3">
        <v>509</v>
      </c>
      <c r="C538" s="3">
        <v>0</v>
      </c>
      <c r="D538" s="3" t="s">
        <v>525</v>
      </c>
      <c r="E538" s="3">
        <v>600</v>
      </c>
      <c r="F538" s="3">
        <v>0</v>
      </c>
      <c r="G538" s="3" t="s">
        <v>1218</v>
      </c>
      <c r="H538" s="31" t="s">
        <v>1220</v>
      </c>
      <c r="I538" s="32">
        <v>0</v>
      </c>
      <c r="J538" s="32">
        <v>0</v>
      </c>
      <c r="K538" s="346">
        <v>3215</v>
      </c>
      <c r="L538" s="141">
        <v>978</v>
      </c>
      <c r="M538" s="362">
        <f t="shared" si="111"/>
        <v>1024</v>
      </c>
      <c r="N538" s="414">
        <v>4239</v>
      </c>
      <c r="Q538" s="509"/>
    </row>
    <row r="539" spans="1:17" ht="27" outlineLevel="5" thickBot="1" x14ac:dyDescent="0.45">
      <c r="A539" s="71"/>
      <c r="B539" s="6"/>
      <c r="C539" s="6"/>
      <c r="D539" s="9" t="s">
        <v>240</v>
      </c>
      <c r="E539" s="6"/>
      <c r="F539" s="6"/>
      <c r="G539" s="6"/>
      <c r="H539" s="41"/>
      <c r="I539" s="42">
        <f>SUBTOTAL(9,I537:I538)</f>
        <v>553</v>
      </c>
      <c r="J539" s="42">
        <f>SUBTOTAL(9,J537:J538)</f>
        <v>2722</v>
      </c>
      <c r="K539" s="43">
        <f>SUBTOTAL(9,K537:K538)</f>
        <v>5838</v>
      </c>
      <c r="L539" s="43">
        <f>SUBTOTAL(9,L537:L538)</f>
        <v>1972</v>
      </c>
      <c r="M539" s="453">
        <f t="shared" si="111"/>
        <v>-512</v>
      </c>
      <c r="N539" s="237">
        <f>SUBTOTAL(9,N537:N538)</f>
        <v>5326</v>
      </c>
    </row>
    <row r="540" spans="1:17" outlineLevel="6" x14ac:dyDescent="0.4">
      <c r="A540" s="70">
        <v>10</v>
      </c>
      <c r="B540" s="3">
        <v>509</v>
      </c>
      <c r="C540" s="3">
        <v>0</v>
      </c>
      <c r="D540" s="3">
        <v>62</v>
      </c>
      <c r="E540" s="3">
        <v>110</v>
      </c>
      <c r="F540" s="3">
        <v>400</v>
      </c>
      <c r="G540" s="3">
        <v>0</v>
      </c>
      <c r="H540" s="31" t="s">
        <v>294</v>
      </c>
      <c r="I540" s="32">
        <v>6968</v>
      </c>
      <c r="J540" s="32">
        <v>8987</v>
      </c>
      <c r="K540" s="348">
        <f>8743+40</f>
        <v>8783</v>
      </c>
      <c r="L540" s="141">
        <v>8910</v>
      </c>
      <c r="M540" s="451">
        <f t="shared" si="111"/>
        <v>127</v>
      </c>
      <c r="N540" s="415">
        <v>8910</v>
      </c>
      <c r="O540" s="29" t="s">
        <v>1479</v>
      </c>
    </row>
    <row r="541" spans="1:17" outlineLevel="6" x14ac:dyDescent="0.4">
      <c r="A541" s="70">
        <v>10</v>
      </c>
      <c r="B541" s="3">
        <v>509</v>
      </c>
      <c r="C541" s="3">
        <v>0</v>
      </c>
      <c r="D541" s="3">
        <v>62</v>
      </c>
      <c r="E541" s="3">
        <v>110</v>
      </c>
      <c r="F541" s="3">
        <v>400</v>
      </c>
      <c r="G541" s="3">
        <v>4367</v>
      </c>
      <c r="H541" s="31" t="s">
        <v>539</v>
      </c>
      <c r="I541" s="32">
        <v>450</v>
      </c>
      <c r="J541" s="32">
        <v>0</v>
      </c>
      <c r="K541" s="348">
        <v>0</v>
      </c>
      <c r="L541" s="141">
        <v>0</v>
      </c>
      <c r="M541" s="451">
        <f t="shared" ref="M541:M556" si="112">N541-K541</f>
        <v>0</v>
      </c>
      <c r="N541" s="415">
        <v>0</v>
      </c>
      <c r="Q541" s="509"/>
    </row>
    <row r="542" spans="1:17" outlineLevel="6" x14ac:dyDescent="0.4">
      <c r="A542" s="70">
        <v>10</v>
      </c>
      <c r="B542" s="3">
        <v>509</v>
      </c>
      <c r="C542" s="3">
        <v>0</v>
      </c>
      <c r="D542" s="3">
        <v>62</v>
      </c>
      <c r="E542" s="3">
        <v>210</v>
      </c>
      <c r="F542" s="3">
        <v>400</v>
      </c>
      <c r="G542" s="3">
        <v>0</v>
      </c>
      <c r="H542" s="31" t="s">
        <v>295</v>
      </c>
      <c r="I542" s="32">
        <v>10</v>
      </c>
      <c r="J542" s="32">
        <v>12</v>
      </c>
      <c r="K542" s="348">
        <v>13</v>
      </c>
      <c r="L542" s="141">
        <v>13</v>
      </c>
      <c r="M542" s="451">
        <f t="shared" si="112"/>
        <v>0</v>
      </c>
      <c r="N542" s="415">
        <v>13</v>
      </c>
    </row>
    <row r="543" spans="1:17" outlineLevel="6" x14ac:dyDescent="0.4">
      <c r="A543" s="70">
        <v>10</v>
      </c>
      <c r="B543" s="3">
        <v>509</v>
      </c>
      <c r="C543" s="3">
        <v>0</v>
      </c>
      <c r="D543" s="3">
        <v>62</v>
      </c>
      <c r="E543" s="3">
        <v>215</v>
      </c>
      <c r="F543" s="3">
        <v>400</v>
      </c>
      <c r="G543" s="3">
        <v>0</v>
      </c>
      <c r="H543" s="31" t="s">
        <v>67</v>
      </c>
      <c r="I543" s="32">
        <v>17</v>
      </c>
      <c r="J543" s="32">
        <v>22</v>
      </c>
      <c r="K543" s="348">
        <v>27</v>
      </c>
      <c r="L543" s="141">
        <v>27</v>
      </c>
      <c r="M543" s="451">
        <f t="shared" si="112"/>
        <v>0</v>
      </c>
      <c r="N543" s="415">
        <v>27</v>
      </c>
    </row>
    <row r="544" spans="1:17" outlineLevel="6" x14ac:dyDescent="0.4">
      <c r="A544" s="70">
        <v>10</v>
      </c>
      <c r="B544" s="3">
        <v>509</v>
      </c>
      <c r="C544" s="3">
        <v>0</v>
      </c>
      <c r="D544" s="3">
        <v>62</v>
      </c>
      <c r="E544" s="3">
        <v>215</v>
      </c>
      <c r="F544" s="3">
        <v>400</v>
      </c>
      <c r="G544" s="3">
        <v>4367</v>
      </c>
      <c r="H544" s="31" t="s">
        <v>540</v>
      </c>
      <c r="I544" s="32">
        <v>1</v>
      </c>
      <c r="J544" s="32">
        <v>0</v>
      </c>
      <c r="K544" s="348">
        <v>0</v>
      </c>
      <c r="L544" s="141">
        <v>0</v>
      </c>
      <c r="M544" s="451">
        <f t="shared" si="112"/>
        <v>0</v>
      </c>
      <c r="N544" s="415">
        <v>0</v>
      </c>
    </row>
    <row r="545" spans="1:17" outlineLevel="6" x14ac:dyDescent="0.4">
      <c r="A545" s="70">
        <v>10</v>
      </c>
      <c r="B545" s="3">
        <v>509</v>
      </c>
      <c r="C545" s="3">
        <v>0</v>
      </c>
      <c r="D545" s="3">
        <v>62</v>
      </c>
      <c r="E545" s="3">
        <v>221</v>
      </c>
      <c r="F545" s="3">
        <v>400</v>
      </c>
      <c r="G545" s="3">
        <v>0</v>
      </c>
      <c r="H545" s="31" t="s">
        <v>296</v>
      </c>
      <c r="I545" s="32">
        <v>85</v>
      </c>
      <c r="J545" s="32">
        <v>105</v>
      </c>
      <c r="K545" s="348">
        <f>127+1</f>
        <v>128</v>
      </c>
      <c r="L545" s="141">
        <v>130</v>
      </c>
      <c r="M545" s="451">
        <f t="shared" si="112"/>
        <v>2</v>
      </c>
      <c r="N545" s="415">
        <v>130</v>
      </c>
    </row>
    <row r="546" spans="1:17" outlineLevel="6" x14ac:dyDescent="0.4">
      <c r="A546" s="70">
        <v>10</v>
      </c>
      <c r="B546" s="3">
        <v>509</v>
      </c>
      <c r="C546" s="3">
        <v>0</v>
      </c>
      <c r="D546" s="3">
        <v>62</v>
      </c>
      <c r="E546" s="3">
        <v>221</v>
      </c>
      <c r="F546" s="3">
        <v>400</v>
      </c>
      <c r="G546" s="3">
        <v>4367</v>
      </c>
      <c r="H546" s="31" t="s">
        <v>541</v>
      </c>
      <c r="I546" s="32">
        <v>7</v>
      </c>
      <c r="J546" s="32">
        <v>0</v>
      </c>
      <c r="K546" s="348">
        <v>0</v>
      </c>
      <c r="L546" s="141">
        <v>0</v>
      </c>
      <c r="M546" s="451">
        <f t="shared" si="112"/>
        <v>0</v>
      </c>
      <c r="N546" s="415">
        <v>0</v>
      </c>
    </row>
    <row r="547" spans="1:17" outlineLevel="6" x14ac:dyDescent="0.4">
      <c r="A547" s="70">
        <v>10</v>
      </c>
      <c r="B547" s="3">
        <v>509</v>
      </c>
      <c r="C547" s="3">
        <v>0</v>
      </c>
      <c r="D547" s="3">
        <v>62</v>
      </c>
      <c r="E547" s="3">
        <v>230</v>
      </c>
      <c r="F547" s="3">
        <v>400</v>
      </c>
      <c r="G547" s="3">
        <v>0</v>
      </c>
      <c r="H547" s="31" t="s">
        <v>297</v>
      </c>
      <c r="I547" s="32">
        <v>1158</v>
      </c>
      <c r="J547" s="32">
        <v>1455</v>
      </c>
      <c r="K547" s="348">
        <v>1762</v>
      </c>
      <c r="L547" s="141">
        <v>1818</v>
      </c>
      <c r="M547" s="451">
        <f t="shared" si="112"/>
        <v>56</v>
      </c>
      <c r="N547" s="415">
        <v>1818</v>
      </c>
    </row>
    <row r="548" spans="1:17" outlineLevel="6" x14ac:dyDescent="0.4">
      <c r="A548" s="70">
        <v>10</v>
      </c>
      <c r="B548" s="3">
        <v>509</v>
      </c>
      <c r="C548" s="3">
        <v>0</v>
      </c>
      <c r="D548" s="3">
        <v>62</v>
      </c>
      <c r="E548" s="3">
        <v>230</v>
      </c>
      <c r="F548" s="3">
        <v>400</v>
      </c>
      <c r="G548" s="3">
        <v>4367</v>
      </c>
      <c r="H548" s="31" t="s">
        <v>542</v>
      </c>
      <c r="I548" s="32">
        <v>91</v>
      </c>
      <c r="J548" s="32">
        <v>0</v>
      </c>
      <c r="K548" s="348">
        <v>0</v>
      </c>
      <c r="L548" s="141">
        <v>0</v>
      </c>
      <c r="M548" s="451">
        <f t="shared" si="112"/>
        <v>0</v>
      </c>
      <c r="N548" s="415">
        <v>0</v>
      </c>
    </row>
    <row r="549" spans="1:17" outlineLevel="6" x14ac:dyDescent="0.4">
      <c r="A549" s="70">
        <v>10</v>
      </c>
      <c r="B549" s="3">
        <v>509</v>
      </c>
      <c r="C549" s="3">
        <v>0</v>
      </c>
      <c r="D549" s="3">
        <v>62</v>
      </c>
      <c r="E549" s="3">
        <v>250</v>
      </c>
      <c r="F549" s="3">
        <v>400</v>
      </c>
      <c r="G549" s="3">
        <v>0</v>
      </c>
      <c r="H549" s="31" t="s">
        <v>232</v>
      </c>
      <c r="I549" s="32">
        <v>828</v>
      </c>
      <c r="J549" s="32">
        <v>1103</v>
      </c>
      <c r="K549" s="348">
        <v>1103</v>
      </c>
      <c r="L549" s="141">
        <v>1150</v>
      </c>
      <c r="M549" s="451">
        <f t="shared" si="112"/>
        <v>54</v>
      </c>
      <c r="N549" s="415">
        <v>1157</v>
      </c>
    </row>
    <row r="550" spans="1:17" outlineLevel="6" x14ac:dyDescent="0.4">
      <c r="A550" s="70">
        <v>10</v>
      </c>
      <c r="B550" s="3">
        <v>509</v>
      </c>
      <c r="C550" s="3">
        <v>0</v>
      </c>
      <c r="D550" s="3">
        <v>62</v>
      </c>
      <c r="E550" s="3" t="s">
        <v>2287</v>
      </c>
      <c r="F550" s="3">
        <v>400</v>
      </c>
      <c r="G550" s="3" t="s">
        <v>2285</v>
      </c>
      <c r="H550" s="31" t="s">
        <v>2428</v>
      </c>
      <c r="I550" s="32">
        <v>0</v>
      </c>
      <c r="J550" s="32">
        <v>222</v>
      </c>
      <c r="K550" s="348">
        <v>0</v>
      </c>
      <c r="L550" s="141">
        <v>0</v>
      </c>
      <c r="M550" s="451">
        <f t="shared" ref="M550" si="113">N550-K550</f>
        <v>267</v>
      </c>
      <c r="N550" s="415">
        <v>267</v>
      </c>
      <c r="Q550" s="509"/>
    </row>
    <row r="551" spans="1:17" outlineLevel="6" x14ac:dyDescent="0.4">
      <c r="A551" s="70">
        <v>10</v>
      </c>
      <c r="B551" s="3">
        <v>509</v>
      </c>
      <c r="C551" s="3">
        <v>0</v>
      </c>
      <c r="D551" s="3">
        <v>62</v>
      </c>
      <c r="E551" s="3" t="s">
        <v>611</v>
      </c>
      <c r="F551" s="3" t="s">
        <v>448</v>
      </c>
      <c r="G551" s="3" t="s">
        <v>456</v>
      </c>
      <c r="H551" s="31" t="s">
        <v>2299</v>
      </c>
      <c r="I551" s="32">
        <v>0</v>
      </c>
      <c r="J551" s="32">
        <v>0</v>
      </c>
      <c r="K551" s="348">
        <v>0</v>
      </c>
      <c r="L551" s="141">
        <v>0</v>
      </c>
      <c r="M551" s="451">
        <f t="shared" ref="M551" si="114">N551-K551</f>
        <v>1200</v>
      </c>
      <c r="N551" s="415">
        <v>1200</v>
      </c>
      <c r="O551" s="29" t="s">
        <v>2300</v>
      </c>
      <c r="Q551" s="509"/>
    </row>
    <row r="552" spans="1:17" outlineLevel="6" x14ac:dyDescent="0.4">
      <c r="A552" s="70">
        <v>10</v>
      </c>
      <c r="B552" s="3">
        <v>509</v>
      </c>
      <c r="C552" s="3">
        <v>0</v>
      </c>
      <c r="D552" s="3">
        <v>62</v>
      </c>
      <c r="E552" s="3">
        <v>580</v>
      </c>
      <c r="F552" s="3">
        <v>0</v>
      </c>
      <c r="G552" s="3">
        <v>0</v>
      </c>
      <c r="H552" s="31" t="s">
        <v>298</v>
      </c>
      <c r="I552" s="32">
        <v>200</v>
      </c>
      <c r="J552" s="32">
        <v>0</v>
      </c>
      <c r="K552" s="348">
        <v>300</v>
      </c>
      <c r="L552" s="141">
        <v>300</v>
      </c>
      <c r="M552" s="451">
        <f t="shared" si="112"/>
        <v>0</v>
      </c>
      <c r="N552" s="415">
        <v>300</v>
      </c>
    </row>
    <row r="553" spans="1:17" outlineLevel="6" x14ac:dyDescent="0.4">
      <c r="A553" s="70">
        <v>10</v>
      </c>
      <c r="B553" s="3">
        <v>509</v>
      </c>
      <c r="C553" s="3">
        <v>0</v>
      </c>
      <c r="D553" s="3">
        <v>62</v>
      </c>
      <c r="E553" s="3">
        <v>580</v>
      </c>
      <c r="F553" s="3">
        <v>0</v>
      </c>
      <c r="G553" s="3" t="s">
        <v>456</v>
      </c>
      <c r="H553" s="31" t="s">
        <v>457</v>
      </c>
      <c r="I553" s="32">
        <v>8721</v>
      </c>
      <c r="J553" s="32">
        <v>2390</v>
      </c>
      <c r="K553" s="348">
        <v>6334</v>
      </c>
      <c r="L553" s="141">
        <v>6000</v>
      </c>
      <c r="M553" s="451">
        <f t="shared" si="112"/>
        <v>6951</v>
      </c>
      <c r="N553" s="415">
        <f>6543+6742</f>
        <v>13285</v>
      </c>
      <c r="Q553" s="509"/>
    </row>
    <row r="554" spans="1:17" outlineLevel="6" x14ac:dyDescent="0.4">
      <c r="A554" s="70">
        <v>10</v>
      </c>
      <c r="B554" s="3">
        <v>509</v>
      </c>
      <c r="C554" s="3">
        <v>0</v>
      </c>
      <c r="D554" s="3">
        <v>62</v>
      </c>
      <c r="E554" s="3">
        <v>600</v>
      </c>
      <c r="F554" s="3">
        <v>0</v>
      </c>
      <c r="G554" s="3">
        <v>0</v>
      </c>
      <c r="H554" s="31" t="s">
        <v>299</v>
      </c>
      <c r="I554" s="32">
        <v>5517</v>
      </c>
      <c r="J554" s="32">
        <v>8218</v>
      </c>
      <c r="K554" s="348">
        <v>8500</v>
      </c>
      <c r="L554" s="141">
        <v>8500</v>
      </c>
      <c r="M554" s="451">
        <f t="shared" si="112"/>
        <v>0</v>
      </c>
      <c r="N554" s="415">
        <v>8500</v>
      </c>
    </row>
    <row r="555" spans="1:17" outlineLevel="6" x14ac:dyDescent="0.4">
      <c r="A555" s="70" t="s">
        <v>40</v>
      </c>
      <c r="B555" s="3" t="s">
        <v>605</v>
      </c>
      <c r="C555" s="3" t="s">
        <v>448</v>
      </c>
      <c r="D555" s="3" t="s">
        <v>608</v>
      </c>
      <c r="E555" s="3" t="s">
        <v>535</v>
      </c>
      <c r="F555" s="3" t="s">
        <v>448</v>
      </c>
      <c r="G555" s="3" t="s">
        <v>456</v>
      </c>
      <c r="H555" s="31" t="s">
        <v>609</v>
      </c>
      <c r="I555" s="32">
        <v>3763</v>
      </c>
      <c r="J555" s="32">
        <v>0</v>
      </c>
      <c r="K555" s="348">
        <v>0</v>
      </c>
      <c r="L555" s="346">
        <f>6338+1214</f>
        <v>7552</v>
      </c>
      <c r="M555" s="451">
        <f t="shared" si="112"/>
        <v>7552</v>
      </c>
      <c r="N555" s="415">
        <v>7552</v>
      </c>
      <c r="Q555" s="509"/>
    </row>
    <row r="556" spans="1:17" ht="27" outlineLevel="6" thickBot="1" x14ac:dyDescent="0.45">
      <c r="A556" s="70" t="s">
        <v>40</v>
      </c>
      <c r="B556" s="3" t="s">
        <v>605</v>
      </c>
      <c r="C556" s="3" t="s">
        <v>448</v>
      </c>
      <c r="D556" s="3" t="s">
        <v>608</v>
      </c>
      <c r="E556" s="3" t="s">
        <v>600</v>
      </c>
      <c r="F556" s="3" t="s">
        <v>448</v>
      </c>
      <c r="G556" s="3" t="s">
        <v>456</v>
      </c>
      <c r="H556" s="31" t="s">
        <v>1270</v>
      </c>
      <c r="I556" s="32">
        <v>0</v>
      </c>
      <c r="J556" s="32">
        <v>0</v>
      </c>
      <c r="K556" s="348">
        <v>1870</v>
      </c>
      <c r="L556" s="346">
        <v>0</v>
      </c>
      <c r="M556" s="451">
        <f t="shared" si="112"/>
        <v>-1870</v>
      </c>
      <c r="N556" s="415">
        <v>0</v>
      </c>
    </row>
    <row r="557" spans="1:17" ht="27" outlineLevel="5" thickBot="1" x14ac:dyDescent="0.45">
      <c r="A557" s="71"/>
      <c r="B557" s="6"/>
      <c r="C557" s="6"/>
      <c r="D557" s="9" t="s">
        <v>300</v>
      </c>
      <c r="E557" s="6"/>
      <c r="F557" s="6"/>
      <c r="G557" s="6"/>
      <c r="H557" s="41"/>
      <c r="I557" s="42">
        <f>SUBTOTAL(9,I540:I555)</f>
        <v>27816</v>
      </c>
      <c r="J557" s="42">
        <f>SUBTOTAL(9,J540:J556)</f>
        <v>22514</v>
      </c>
      <c r="K557" s="237">
        <f>SUBTOTAL(9,K540:K556)</f>
        <v>28820</v>
      </c>
      <c r="L557" s="50">
        <f>SUBTOTAL(9,L540:L556)</f>
        <v>34400</v>
      </c>
      <c r="M557" s="453">
        <f>N557-K557</f>
        <v>14339</v>
      </c>
      <c r="N557" s="237">
        <f>SUBTOTAL(9,N540:N556)</f>
        <v>43159</v>
      </c>
    </row>
    <row r="558" spans="1:17" outlineLevel="6" x14ac:dyDescent="0.4">
      <c r="A558" s="70">
        <v>10</v>
      </c>
      <c r="B558" s="3">
        <v>509</v>
      </c>
      <c r="C558" s="3">
        <v>0</v>
      </c>
      <c r="D558" s="3">
        <v>90</v>
      </c>
      <c r="E558" s="3">
        <v>110</v>
      </c>
      <c r="F558" s="3">
        <v>200</v>
      </c>
      <c r="G558" s="3">
        <v>4010</v>
      </c>
      <c r="H558" s="31" t="s">
        <v>543</v>
      </c>
      <c r="I558" s="32">
        <v>83533</v>
      </c>
      <c r="J558" s="32">
        <v>43455</v>
      </c>
      <c r="K558" s="40">
        <v>43457</v>
      </c>
      <c r="L558" s="40">
        <f>42265+15000</f>
        <v>57265</v>
      </c>
      <c r="M558" s="361">
        <f>N558-K558</f>
        <v>15808</v>
      </c>
      <c r="N558" s="417">
        <v>59265</v>
      </c>
      <c r="O558" s="29" t="s">
        <v>2293</v>
      </c>
    </row>
    <row r="559" spans="1:17" outlineLevel="6" x14ac:dyDescent="0.4">
      <c r="A559" s="70" t="s">
        <v>40</v>
      </c>
      <c r="B559" s="3" t="s">
        <v>605</v>
      </c>
      <c r="C559" s="3" t="s">
        <v>448</v>
      </c>
      <c r="D559" s="3" t="s">
        <v>604</v>
      </c>
      <c r="E559" s="3" t="s">
        <v>526</v>
      </c>
      <c r="F559" s="3" t="s">
        <v>451</v>
      </c>
      <c r="G559" s="3" t="s">
        <v>2311</v>
      </c>
      <c r="H559" s="31" t="s">
        <v>2313</v>
      </c>
      <c r="I559" s="32">
        <v>50</v>
      </c>
      <c r="J559" s="32">
        <v>100</v>
      </c>
      <c r="K559" s="40">
        <v>100</v>
      </c>
      <c r="L559" s="40">
        <v>100</v>
      </c>
      <c r="M559" s="361">
        <f t="shared" ref="M559:M578" si="115">N559-K559</f>
        <v>0</v>
      </c>
      <c r="N559" s="417">
        <v>100</v>
      </c>
    </row>
    <row r="560" spans="1:17" outlineLevel="6" x14ac:dyDescent="0.4">
      <c r="A560" s="70" t="s">
        <v>40</v>
      </c>
      <c r="B560" s="3" t="s">
        <v>605</v>
      </c>
      <c r="C560" s="3" t="s">
        <v>448</v>
      </c>
      <c r="D560" s="3" t="s">
        <v>604</v>
      </c>
      <c r="E560" s="3" t="s">
        <v>526</v>
      </c>
      <c r="F560" s="3" t="s">
        <v>494</v>
      </c>
      <c r="G560" s="3" t="s">
        <v>606</v>
      </c>
      <c r="H560" s="31" t="s">
        <v>1234</v>
      </c>
      <c r="I560" s="32">
        <v>0</v>
      </c>
      <c r="J560" s="32">
        <v>15937</v>
      </c>
      <c r="K560" s="40">
        <v>15937</v>
      </c>
      <c r="L560" s="40">
        <v>16063</v>
      </c>
      <c r="M560" s="361">
        <f t="shared" si="115"/>
        <v>-5953</v>
      </c>
      <c r="N560" s="417">
        <f>7674+4410-2100</f>
        <v>9984</v>
      </c>
      <c r="O560" s="29" t="s">
        <v>1531</v>
      </c>
    </row>
    <row r="561" spans="1:17" outlineLevel="6" x14ac:dyDescent="0.4">
      <c r="A561" s="70" t="s">
        <v>40</v>
      </c>
      <c r="B561" s="3" t="s">
        <v>605</v>
      </c>
      <c r="C561" s="3" t="s">
        <v>448</v>
      </c>
      <c r="D561" s="3" t="s">
        <v>604</v>
      </c>
      <c r="E561" s="3" t="s">
        <v>1275</v>
      </c>
      <c r="F561" s="3" t="s">
        <v>494</v>
      </c>
      <c r="G561" s="3" t="s">
        <v>606</v>
      </c>
      <c r="H561" s="31" t="s">
        <v>2294</v>
      </c>
      <c r="I561" s="32">
        <v>0</v>
      </c>
      <c r="J561" s="32">
        <v>0</v>
      </c>
      <c r="K561" s="40">
        <v>0</v>
      </c>
      <c r="L561" s="40">
        <v>0</v>
      </c>
      <c r="M561" s="361">
        <f t="shared" ref="M561:M562" si="116">N561-K561</f>
        <v>5000</v>
      </c>
      <c r="N561" s="417">
        <v>5000</v>
      </c>
      <c r="O561" s="29" t="s">
        <v>2295</v>
      </c>
    </row>
    <row r="562" spans="1:17" outlineLevel="6" x14ac:dyDescent="0.4">
      <c r="A562" s="70">
        <v>10</v>
      </c>
      <c r="B562" s="3" t="s">
        <v>605</v>
      </c>
      <c r="C562" s="3">
        <v>0</v>
      </c>
      <c r="D562" s="3" t="s">
        <v>604</v>
      </c>
      <c r="E562" s="3" t="s">
        <v>1275</v>
      </c>
      <c r="F562" s="3" t="s">
        <v>494</v>
      </c>
      <c r="G562" s="3" t="s">
        <v>606</v>
      </c>
      <c r="H562" s="31" t="s">
        <v>2391</v>
      </c>
      <c r="I562" s="32">
        <v>0</v>
      </c>
      <c r="J562" s="32">
        <v>0</v>
      </c>
      <c r="K562" s="348">
        <v>0</v>
      </c>
      <c r="L562" s="346">
        <v>0</v>
      </c>
      <c r="M562" s="451">
        <f t="shared" si="116"/>
        <v>1719</v>
      </c>
      <c r="N562" s="415">
        <v>1719</v>
      </c>
      <c r="O562" s="29" t="s">
        <v>2392</v>
      </c>
      <c r="Q562" s="509"/>
    </row>
    <row r="563" spans="1:17" outlineLevel="6" x14ac:dyDescent="0.4">
      <c r="A563" s="70">
        <v>10</v>
      </c>
      <c r="B563" s="3">
        <v>509</v>
      </c>
      <c r="C563" s="3">
        <v>0</v>
      </c>
      <c r="D563" s="3">
        <v>90</v>
      </c>
      <c r="E563" s="3">
        <v>210</v>
      </c>
      <c r="F563" s="3">
        <v>200</v>
      </c>
      <c r="G563" s="3">
        <v>4010</v>
      </c>
      <c r="H563" s="31" t="s">
        <v>544</v>
      </c>
      <c r="I563" s="32">
        <v>0</v>
      </c>
      <c r="J563" s="32">
        <v>54</v>
      </c>
      <c r="K563" s="346">
        <v>54</v>
      </c>
      <c r="L563" s="346">
        <v>0</v>
      </c>
      <c r="M563" s="361">
        <f t="shared" si="115"/>
        <v>-54</v>
      </c>
      <c r="N563" s="414">
        <v>0</v>
      </c>
    </row>
    <row r="564" spans="1:17" outlineLevel="6" x14ac:dyDescent="0.4">
      <c r="A564" s="70" t="s">
        <v>40</v>
      </c>
      <c r="B564" s="3" t="s">
        <v>605</v>
      </c>
      <c r="C564" s="3" t="s">
        <v>448</v>
      </c>
      <c r="D564" s="3" t="s">
        <v>604</v>
      </c>
      <c r="E564" s="3" t="s">
        <v>455</v>
      </c>
      <c r="F564" s="3" t="s">
        <v>494</v>
      </c>
      <c r="G564" s="3" t="s">
        <v>606</v>
      </c>
      <c r="H564" s="31" t="s">
        <v>1235</v>
      </c>
      <c r="I564" s="32">
        <v>0</v>
      </c>
      <c r="J564" s="32">
        <v>0</v>
      </c>
      <c r="K564" s="346">
        <v>0</v>
      </c>
      <c r="L564" s="346">
        <v>0</v>
      </c>
      <c r="M564" s="361">
        <f t="shared" si="115"/>
        <v>0</v>
      </c>
      <c r="N564" s="414">
        <v>0</v>
      </c>
    </row>
    <row r="565" spans="1:17" outlineLevel="6" x14ac:dyDescent="0.4">
      <c r="A565" s="70">
        <v>10</v>
      </c>
      <c r="B565" s="3">
        <v>509</v>
      </c>
      <c r="C565" s="3">
        <v>0</v>
      </c>
      <c r="D565" s="3">
        <v>90</v>
      </c>
      <c r="E565" s="3">
        <v>215</v>
      </c>
      <c r="F565" s="3">
        <v>200</v>
      </c>
      <c r="G565" s="3">
        <v>4010</v>
      </c>
      <c r="H565" s="31" t="s">
        <v>545</v>
      </c>
      <c r="I565" s="32">
        <v>0</v>
      </c>
      <c r="J565" s="32">
        <v>102</v>
      </c>
      <c r="K565" s="346">
        <v>104</v>
      </c>
      <c r="L565" s="346">
        <v>0</v>
      </c>
      <c r="M565" s="361">
        <f t="shared" si="115"/>
        <v>-104</v>
      </c>
      <c r="N565" s="414">
        <v>0</v>
      </c>
    </row>
    <row r="566" spans="1:17" outlineLevel="6" x14ac:dyDescent="0.4">
      <c r="A566" s="70" t="s">
        <v>40</v>
      </c>
      <c r="B566" s="3" t="s">
        <v>605</v>
      </c>
      <c r="C566" s="3" t="s">
        <v>448</v>
      </c>
      <c r="D566" s="3" t="s">
        <v>604</v>
      </c>
      <c r="E566" s="3" t="s">
        <v>533</v>
      </c>
      <c r="F566" s="3" t="s">
        <v>494</v>
      </c>
      <c r="G566" s="3" t="s">
        <v>606</v>
      </c>
      <c r="H566" s="31" t="s">
        <v>1236</v>
      </c>
      <c r="I566" s="32">
        <v>0</v>
      </c>
      <c r="J566" s="32">
        <v>0</v>
      </c>
      <c r="K566" s="346">
        <v>0</v>
      </c>
      <c r="L566" s="346">
        <v>0</v>
      </c>
      <c r="M566" s="361">
        <f t="shared" si="115"/>
        <v>15</v>
      </c>
      <c r="N566" s="414">
        <v>15</v>
      </c>
      <c r="O566" s="29" t="s">
        <v>2326</v>
      </c>
    </row>
    <row r="567" spans="1:17" outlineLevel="6" x14ac:dyDescent="0.4">
      <c r="A567" s="70" t="s">
        <v>40</v>
      </c>
      <c r="B567" s="3" t="s">
        <v>605</v>
      </c>
      <c r="C567" s="3" t="s">
        <v>448</v>
      </c>
      <c r="D567" s="3" t="s">
        <v>604</v>
      </c>
      <c r="E567" s="3" t="s">
        <v>533</v>
      </c>
      <c r="F567" s="3" t="s">
        <v>494</v>
      </c>
      <c r="G567" s="3" t="s">
        <v>606</v>
      </c>
      <c r="H567" s="31" t="s">
        <v>1236</v>
      </c>
      <c r="I567" s="32">
        <v>0</v>
      </c>
      <c r="J567" s="32">
        <v>0</v>
      </c>
      <c r="K567" s="346">
        <v>0</v>
      </c>
      <c r="L567" s="346">
        <v>0</v>
      </c>
      <c r="M567" s="361">
        <f t="shared" ref="M567" si="117">N567-K567</f>
        <v>5</v>
      </c>
      <c r="N567" s="414">
        <v>5</v>
      </c>
      <c r="O567" s="29" t="s">
        <v>2392</v>
      </c>
    </row>
    <row r="568" spans="1:17" outlineLevel="6" x14ac:dyDescent="0.4">
      <c r="A568" s="70">
        <v>10</v>
      </c>
      <c r="B568" s="3">
        <v>509</v>
      </c>
      <c r="C568" s="3">
        <v>0</v>
      </c>
      <c r="D568" s="3">
        <v>90</v>
      </c>
      <c r="E568" s="3">
        <v>221</v>
      </c>
      <c r="F568" s="3">
        <v>200</v>
      </c>
      <c r="G568" s="3">
        <v>4010</v>
      </c>
      <c r="H568" s="31" t="s">
        <v>546</v>
      </c>
      <c r="I568" s="32">
        <v>0</v>
      </c>
      <c r="J568" s="32">
        <v>495</v>
      </c>
      <c r="K568" s="346">
        <v>500</v>
      </c>
      <c r="L568" s="346">
        <v>0</v>
      </c>
      <c r="M568" s="361">
        <f t="shared" si="115"/>
        <v>-500</v>
      </c>
      <c r="N568" s="414">
        <v>0</v>
      </c>
    </row>
    <row r="569" spans="1:17" outlineLevel="6" x14ac:dyDescent="0.4">
      <c r="A569" s="70">
        <v>10</v>
      </c>
      <c r="B569" s="3">
        <v>509</v>
      </c>
      <c r="C569" s="3">
        <v>0</v>
      </c>
      <c r="D569" s="3">
        <v>90</v>
      </c>
      <c r="E569" s="3">
        <v>221</v>
      </c>
      <c r="F569" s="3">
        <v>400</v>
      </c>
      <c r="G569" s="3">
        <v>4010</v>
      </c>
      <c r="H569" s="31" t="s">
        <v>547</v>
      </c>
      <c r="I569" s="32">
        <v>0</v>
      </c>
      <c r="J569" s="32">
        <v>0</v>
      </c>
      <c r="K569" s="346">
        <v>0</v>
      </c>
      <c r="L569" s="346">
        <v>0</v>
      </c>
      <c r="M569" s="361">
        <f t="shared" si="115"/>
        <v>72</v>
      </c>
      <c r="N569" s="414">
        <v>72</v>
      </c>
      <c r="O569" s="29" t="s">
        <v>2326</v>
      </c>
    </row>
    <row r="570" spans="1:17" outlineLevel="6" x14ac:dyDescent="0.4">
      <c r="A570" s="70">
        <v>10</v>
      </c>
      <c r="B570" s="3">
        <v>509</v>
      </c>
      <c r="C570" s="3">
        <v>0</v>
      </c>
      <c r="D570" s="3">
        <v>90</v>
      </c>
      <c r="E570" s="3">
        <v>221</v>
      </c>
      <c r="F570" s="3">
        <v>400</v>
      </c>
      <c r="G570" s="3">
        <v>4010</v>
      </c>
      <c r="H570" s="31" t="s">
        <v>547</v>
      </c>
      <c r="I570" s="32">
        <v>0</v>
      </c>
      <c r="J570" s="32">
        <v>0</v>
      </c>
      <c r="K570" s="346">
        <v>0</v>
      </c>
      <c r="L570" s="346">
        <v>0</v>
      </c>
      <c r="M570" s="361">
        <f t="shared" ref="M570" si="118">N570-K570</f>
        <v>25</v>
      </c>
      <c r="N570" s="414">
        <v>25</v>
      </c>
      <c r="O570" s="29" t="s">
        <v>2392</v>
      </c>
    </row>
    <row r="571" spans="1:17" outlineLevel="6" x14ac:dyDescent="0.4">
      <c r="A571" s="70">
        <v>10</v>
      </c>
      <c r="B571" s="3">
        <v>509</v>
      </c>
      <c r="C571" s="3">
        <v>0</v>
      </c>
      <c r="D571" s="3">
        <v>90</v>
      </c>
      <c r="E571" s="3">
        <v>230</v>
      </c>
      <c r="F571" s="3">
        <v>200</v>
      </c>
      <c r="G571" s="3">
        <v>4010</v>
      </c>
      <c r="H571" s="31" t="s">
        <v>548</v>
      </c>
      <c r="I571" s="32">
        <v>0</v>
      </c>
      <c r="J571" s="32">
        <v>6894</v>
      </c>
      <c r="K571" s="346">
        <v>6944</v>
      </c>
      <c r="L571" s="346">
        <v>0</v>
      </c>
      <c r="M571" s="361">
        <f t="shared" si="115"/>
        <v>-6944</v>
      </c>
      <c r="N571" s="414">
        <v>0</v>
      </c>
    </row>
    <row r="572" spans="1:17" outlineLevel="6" x14ac:dyDescent="0.4">
      <c r="A572" s="70" t="s">
        <v>40</v>
      </c>
      <c r="B572" s="3" t="s">
        <v>605</v>
      </c>
      <c r="C572" s="3" t="s">
        <v>448</v>
      </c>
      <c r="D572" s="3" t="s">
        <v>604</v>
      </c>
      <c r="E572" s="3" t="s">
        <v>534</v>
      </c>
      <c r="F572" s="3" t="s">
        <v>494</v>
      </c>
      <c r="G572" s="3" t="s">
        <v>606</v>
      </c>
      <c r="H572" s="31" t="s">
        <v>1237</v>
      </c>
      <c r="I572" s="32">
        <v>0</v>
      </c>
      <c r="J572" s="32">
        <v>0</v>
      </c>
      <c r="K572" s="346">
        <v>0</v>
      </c>
      <c r="L572" s="346">
        <v>0</v>
      </c>
      <c r="M572" s="361">
        <f t="shared" si="115"/>
        <v>1020</v>
      </c>
      <c r="N572" s="414">
        <v>1020</v>
      </c>
      <c r="O572" s="29" t="s">
        <v>2326</v>
      </c>
    </row>
    <row r="573" spans="1:17" outlineLevel="6" x14ac:dyDescent="0.4">
      <c r="A573" s="70" t="s">
        <v>40</v>
      </c>
      <c r="B573" s="3" t="s">
        <v>605</v>
      </c>
      <c r="C573" s="3" t="s">
        <v>448</v>
      </c>
      <c r="D573" s="3" t="s">
        <v>604</v>
      </c>
      <c r="E573" s="3" t="s">
        <v>534</v>
      </c>
      <c r="F573" s="3" t="s">
        <v>494</v>
      </c>
      <c r="G573" s="3" t="s">
        <v>606</v>
      </c>
      <c r="H573" s="31" t="s">
        <v>1237</v>
      </c>
      <c r="I573" s="32">
        <v>0</v>
      </c>
      <c r="J573" s="32">
        <v>0</v>
      </c>
      <c r="K573" s="346">
        <v>0</v>
      </c>
      <c r="L573" s="346">
        <v>0</v>
      </c>
      <c r="M573" s="361">
        <f t="shared" ref="M573" si="119">N573-K573</f>
        <v>351</v>
      </c>
      <c r="N573" s="414">
        <v>351</v>
      </c>
      <c r="O573" s="29" t="s">
        <v>2392</v>
      </c>
    </row>
    <row r="574" spans="1:17" outlineLevel="6" x14ac:dyDescent="0.4">
      <c r="A574" s="70">
        <v>10</v>
      </c>
      <c r="B574" s="3">
        <v>509</v>
      </c>
      <c r="C574" s="3">
        <v>0</v>
      </c>
      <c r="D574" s="3">
        <v>90</v>
      </c>
      <c r="E574" s="3">
        <v>250</v>
      </c>
      <c r="F574" s="3">
        <v>200</v>
      </c>
      <c r="G574" s="3">
        <v>4010</v>
      </c>
      <c r="H574" s="31" t="s">
        <v>549</v>
      </c>
      <c r="I574" s="32">
        <v>0</v>
      </c>
      <c r="J574" s="32">
        <v>4901</v>
      </c>
      <c r="K574" s="346">
        <v>4842</v>
      </c>
      <c r="L574" s="346">
        <v>0</v>
      </c>
      <c r="M574" s="361">
        <f t="shared" si="115"/>
        <v>-4842</v>
      </c>
      <c r="N574" s="414">
        <v>0</v>
      </c>
    </row>
    <row r="575" spans="1:17" outlineLevel="6" x14ac:dyDescent="0.4">
      <c r="A575" s="70">
        <v>10</v>
      </c>
      <c r="B575" s="3" t="s">
        <v>605</v>
      </c>
      <c r="C575" s="3">
        <v>0</v>
      </c>
      <c r="D575" s="3" t="s">
        <v>604</v>
      </c>
      <c r="E575" s="3" t="s">
        <v>603</v>
      </c>
      <c r="F575" s="3" t="s">
        <v>437</v>
      </c>
      <c r="G575" s="3" t="s">
        <v>606</v>
      </c>
      <c r="H575" s="31" t="s">
        <v>2298</v>
      </c>
      <c r="I575" s="32">
        <v>0</v>
      </c>
      <c r="J575" s="32">
        <v>1896</v>
      </c>
      <c r="K575" s="40">
        <v>4800</v>
      </c>
      <c r="L575" s="40">
        <v>6750</v>
      </c>
      <c r="M575" s="361">
        <f t="shared" si="115"/>
        <v>2700</v>
      </c>
      <c r="N575" s="417">
        <v>7500</v>
      </c>
      <c r="O575" s="29" t="s">
        <v>1533</v>
      </c>
      <c r="Q575" s="509"/>
    </row>
    <row r="576" spans="1:17" outlineLevel="6" x14ac:dyDescent="0.4">
      <c r="A576" s="70">
        <v>10</v>
      </c>
      <c r="B576" s="3">
        <v>509</v>
      </c>
      <c r="C576" s="3">
        <v>0</v>
      </c>
      <c r="D576" s="3">
        <v>90</v>
      </c>
      <c r="E576" s="3" t="s">
        <v>535</v>
      </c>
      <c r="F576" s="3">
        <v>0</v>
      </c>
      <c r="G576" s="3" t="s">
        <v>2311</v>
      </c>
      <c r="H576" s="31" t="s">
        <v>2312</v>
      </c>
      <c r="I576" s="32">
        <v>7316</v>
      </c>
      <c r="J576" s="32">
        <v>72</v>
      </c>
      <c r="K576" s="346">
        <v>2342</v>
      </c>
      <c r="L576" s="346">
        <v>2245</v>
      </c>
      <c r="M576" s="361">
        <f t="shared" si="115"/>
        <v>-1012</v>
      </c>
      <c r="N576" s="414">
        <v>1330</v>
      </c>
      <c r="O576" s="29" t="s">
        <v>1534</v>
      </c>
    </row>
    <row r="577" spans="1:17" outlineLevel="6" x14ac:dyDescent="0.4">
      <c r="A577" s="70">
        <v>10</v>
      </c>
      <c r="B577" s="3">
        <v>509</v>
      </c>
      <c r="C577" s="3">
        <v>0</v>
      </c>
      <c r="D577" s="3">
        <v>90</v>
      </c>
      <c r="E577" s="3" t="s">
        <v>535</v>
      </c>
      <c r="F577" s="3">
        <v>0</v>
      </c>
      <c r="G577" s="3">
        <v>4010</v>
      </c>
      <c r="H577" s="31" t="s">
        <v>2297</v>
      </c>
      <c r="I577" s="32">
        <v>0</v>
      </c>
      <c r="J577" s="32">
        <v>0</v>
      </c>
      <c r="K577" s="346">
        <v>0</v>
      </c>
      <c r="L577" s="346">
        <v>0</v>
      </c>
      <c r="M577" s="361">
        <f t="shared" ref="M577" si="120">N577-K577</f>
        <v>4063</v>
      </c>
      <c r="N577" s="414">
        <v>4063</v>
      </c>
      <c r="O577" s="29" t="s">
        <v>2296</v>
      </c>
      <c r="Q577" s="509"/>
    </row>
    <row r="578" spans="1:17" ht="27" outlineLevel="6" thickBot="1" x14ac:dyDescent="0.45">
      <c r="A578" s="70">
        <v>10</v>
      </c>
      <c r="B578" s="3">
        <v>509</v>
      </c>
      <c r="C578" s="3">
        <v>0</v>
      </c>
      <c r="D578" s="3">
        <v>90</v>
      </c>
      <c r="E578" s="3" t="s">
        <v>600</v>
      </c>
      <c r="F578" s="3">
        <v>0</v>
      </c>
      <c r="G578" s="3">
        <v>4010</v>
      </c>
      <c r="H578" s="31" t="s">
        <v>1269</v>
      </c>
      <c r="I578" s="32">
        <v>0</v>
      </c>
      <c r="J578" s="32">
        <v>8056</v>
      </c>
      <c r="K578" s="346">
        <v>8055</v>
      </c>
      <c r="L578" s="346">
        <v>0</v>
      </c>
      <c r="M578" s="361">
        <f t="shared" si="115"/>
        <v>-8055</v>
      </c>
      <c r="N578" s="414">
        <v>0</v>
      </c>
    </row>
    <row r="579" spans="1:17" ht="27" outlineLevel="5" thickBot="1" x14ac:dyDescent="0.45">
      <c r="A579" s="71"/>
      <c r="B579" s="6"/>
      <c r="C579" s="6"/>
      <c r="D579" s="9" t="s">
        <v>301</v>
      </c>
      <c r="E579" s="6"/>
      <c r="F579" s="6"/>
      <c r="G579" s="6"/>
      <c r="H579" s="41"/>
      <c r="I579" s="42">
        <f>SUBTOTAL(9,I558:I578)</f>
        <v>90899</v>
      </c>
      <c r="J579" s="42">
        <f>SUBTOTAL(9,J558:J578)</f>
        <v>81962</v>
      </c>
      <c r="K579" s="43">
        <f>SUBTOTAL(9,K558:K578)</f>
        <v>87135</v>
      </c>
      <c r="L579" s="43">
        <f>SUBTOTAL(9,L558:L578)</f>
        <v>82423</v>
      </c>
      <c r="M579" s="453">
        <f t="shared" ref="M579:M589" si="121">N579-K579</f>
        <v>3314</v>
      </c>
      <c r="N579" s="237">
        <f>SUBTOTAL(9,N558:N578)</f>
        <v>90449</v>
      </c>
    </row>
    <row r="580" spans="1:17" ht="27" outlineLevel="6" thickBot="1" x14ac:dyDescent="0.45">
      <c r="A580" s="70">
        <v>10</v>
      </c>
      <c r="B580" s="3">
        <v>509</v>
      </c>
      <c r="C580" s="3">
        <v>0</v>
      </c>
      <c r="D580" s="3">
        <v>91</v>
      </c>
      <c r="E580" s="3">
        <v>600</v>
      </c>
      <c r="F580" s="3">
        <v>0</v>
      </c>
      <c r="G580" s="3">
        <v>4358</v>
      </c>
      <c r="H580" s="31" t="s">
        <v>302</v>
      </c>
      <c r="I580" s="32">
        <v>16203</v>
      </c>
      <c r="J580" s="32">
        <v>25337</v>
      </c>
      <c r="K580" s="346">
        <v>25337</v>
      </c>
      <c r="L580" s="141">
        <v>12915</v>
      </c>
      <c r="M580" s="451">
        <f t="shared" si="121"/>
        <v>-17048</v>
      </c>
      <c r="N580" s="414">
        <v>8289</v>
      </c>
      <c r="Q580" s="509"/>
    </row>
    <row r="581" spans="1:17" ht="27" outlineLevel="5" thickBot="1" x14ac:dyDescent="0.45">
      <c r="A581" s="71"/>
      <c r="B581" s="6"/>
      <c r="C581" s="6"/>
      <c r="D581" s="9" t="s">
        <v>303</v>
      </c>
      <c r="E581" s="6"/>
      <c r="F581" s="6"/>
      <c r="G581" s="6"/>
      <c r="H581" s="41"/>
      <c r="I581" s="42">
        <f>SUBTOTAL(9,I580:I580)</f>
        <v>16203</v>
      </c>
      <c r="J581" s="42">
        <f>SUBTOTAL(9,J580:J580)</f>
        <v>25337</v>
      </c>
      <c r="K581" s="43">
        <f>SUBTOTAL(9,K580:K580)</f>
        <v>25337</v>
      </c>
      <c r="L581" s="43">
        <f>SUBTOTAL(9,L580:L580)</f>
        <v>12915</v>
      </c>
      <c r="M581" s="453">
        <f t="shared" si="121"/>
        <v>-17048</v>
      </c>
      <c r="N581" s="237">
        <f>SUBTOTAL(9,N580:N580)</f>
        <v>8289</v>
      </c>
    </row>
    <row r="582" spans="1:17" ht="27" outlineLevel="6" thickBot="1" x14ac:dyDescent="0.45">
      <c r="A582" s="70">
        <v>10</v>
      </c>
      <c r="B582" s="3">
        <v>509</v>
      </c>
      <c r="C582" s="3">
        <v>0</v>
      </c>
      <c r="D582" s="3" t="s">
        <v>1213</v>
      </c>
      <c r="E582" s="3">
        <v>600</v>
      </c>
      <c r="F582" s="3">
        <v>0</v>
      </c>
      <c r="G582" s="3" t="s">
        <v>528</v>
      </c>
      <c r="H582" s="31" t="s">
        <v>1214</v>
      </c>
      <c r="I582" s="32">
        <v>600</v>
      </c>
      <c r="J582" s="32">
        <v>535</v>
      </c>
      <c r="K582" s="346">
        <v>4174</v>
      </c>
      <c r="L582" s="141">
        <v>4000</v>
      </c>
      <c r="M582" s="451">
        <f t="shared" si="121"/>
        <v>-3674</v>
      </c>
      <c r="N582" s="414">
        <v>500</v>
      </c>
      <c r="O582" s="408"/>
      <c r="Q582" s="509"/>
    </row>
    <row r="583" spans="1:17" ht="27" outlineLevel="5" thickBot="1" x14ac:dyDescent="0.45">
      <c r="A583" s="71"/>
      <c r="B583" s="6"/>
      <c r="C583" s="6"/>
      <c r="D583" s="9" t="s">
        <v>1215</v>
      </c>
      <c r="E583" s="6"/>
      <c r="F583" s="6"/>
      <c r="G583" s="6"/>
      <c r="H583" s="41"/>
      <c r="I583" s="42">
        <f>SUBTOTAL(9,I582:I582)</f>
        <v>600</v>
      </c>
      <c r="J583" s="42">
        <f>SUBTOTAL(9,J582:J582)</f>
        <v>535</v>
      </c>
      <c r="K583" s="43">
        <f>SUBTOTAL(9,K582:K582)</f>
        <v>4174</v>
      </c>
      <c r="L583" s="43">
        <f>SUBTOTAL(9,L582:L582)</f>
        <v>4000</v>
      </c>
      <c r="M583" s="453">
        <f t="shared" si="121"/>
        <v>-3674</v>
      </c>
      <c r="N583" s="237">
        <f>SUBTOTAL(9,N582:N582)</f>
        <v>500</v>
      </c>
    </row>
    <row r="584" spans="1:17" s="82" customFormat="1" ht="27" outlineLevel="5" thickBot="1" x14ac:dyDescent="0.45">
      <c r="A584" s="70" t="s">
        <v>40</v>
      </c>
      <c r="B584" s="3" t="s">
        <v>605</v>
      </c>
      <c r="C584" s="3" t="s">
        <v>448</v>
      </c>
      <c r="D584" s="3" t="s">
        <v>620</v>
      </c>
      <c r="E584" s="3" t="s">
        <v>535</v>
      </c>
      <c r="F584" s="3" t="s">
        <v>448</v>
      </c>
      <c r="G584" s="3" t="s">
        <v>621</v>
      </c>
      <c r="H584" s="31" t="s">
        <v>623</v>
      </c>
      <c r="I584" s="32">
        <v>1527</v>
      </c>
      <c r="J584" s="32">
        <v>3780</v>
      </c>
      <c r="K584" s="346">
        <v>3780</v>
      </c>
      <c r="L584" s="346">
        <v>2031</v>
      </c>
      <c r="M584" s="362">
        <f t="shared" si="121"/>
        <v>-486</v>
      </c>
      <c r="N584" s="414">
        <f>2030+1264</f>
        <v>3294</v>
      </c>
      <c r="Q584" s="510"/>
    </row>
    <row r="585" spans="1:17" ht="27" outlineLevel="5" thickBot="1" x14ac:dyDescent="0.45">
      <c r="A585" s="71"/>
      <c r="B585" s="6"/>
      <c r="C585" s="6"/>
      <c r="D585" s="9" t="s">
        <v>622</v>
      </c>
      <c r="E585" s="6"/>
      <c r="F585" s="6"/>
      <c r="G585" s="6"/>
      <c r="H585" s="41"/>
      <c r="I585" s="42">
        <f>SUBTOTAL(9,I584:I584)</f>
        <v>1527</v>
      </c>
      <c r="J585" s="42">
        <f>SUBTOTAL(9,J584:J584)</f>
        <v>3780</v>
      </c>
      <c r="K585" s="43">
        <f>SUBTOTAL(9,K584:K584)</f>
        <v>3780</v>
      </c>
      <c r="L585" s="43">
        <f>SUBTOTAL(9,L584:L584)</f>
        <v>2031</v>
      </c>
      <c r="M585" s="453">
        <f t="shared" si="121"/>
        <v>-486</v>
      </c>
      <c r="N585" s="237">
        <f>SUBTOTAL(9,N584:N584)</f>
        <v>3294</v>
      </c>
    </row>
    <row r="586" spans="1:17" ht="27" outlineLevel="4" thickBot="1" x14ac:dyDescent="0.45">
      <c r="A586" s="75"/>
      <c r="B586" s="8" t="s">
        <v>304</v>
      </c>
      <c r="C586" s="8"/>
      <c r="D586" s="8"/>
      <c r="E586" s="8"/>
      <c r="F586" s="8"/>
      <c r="G586" s="8"/>
      <c r="H586" s="48"/>
      <c r="I586" s="49">
        <f>SUBTOTAL(9,I540:I580)</f>
        <v>134918</v>
      </c>
      <c r="J586" s="49">
        <f>SUBTOTAL(9,J537:J585)</f>
        <v>136850</v>
      </c>
      <c r="K586" s="47">
        <f>SUBTOTAL(9,K537:K585)</f>
        <v>155084</v>
      </c>
      <c r="L586" s="47">
        <f>SUBTOTAL(9,L537:L585)</f>
        <v>137741</v>
      </c>
      <c r="M586" s="455">
        <f t="shared" si="121"/>
        <v>-4067</v>
      </c>
      <c r="N586" s="419">
        <f>SUBTOTAL(9,N537:N585)</f>
        <v>151017</v>
      </c>
    </row>
    <row r="587" spans="1:17" ht="27" outlineLevel="6" thickBot="1" x14ac:dyDescent="0.45">
      <c r="A587" s="70">
        <v>10</v>
      </c>
      <c r="B587" s="3">
        <v>600</v>
      </c>
      <c r="C587" s="3">
        <v>0</v>
      </c>
      <c r="D587" s="3">
        <v>60</v>
      </c>
      <c r="E587" s="3">
        <v>565</v>
      </c>
      <c r="F587" s="3">
        <v>0</v>
      </c>
      <c r="G587" s="3">
        <v>0</v>
      </c>
      <c r="H587" s="31" t="s">
        <v>1477</v>
      </c>
      <c r="I587" s="32">
        <v>456</v>
      </c>
      <c r="J587" s="32">
        <v>4285</v>
      </c>
      <c r="K587" s="346">
        <v>2000</v>
      </c>
      <c r="L587" s="141">
        <v>4500</v>
      </c>
      <c r="M587" s="451">
        <f t="shared" si="121"/>
        <v>2500</v>
      </c>
      <c r="N587" s="414">
        <v>4500</v>
      </c>
      <c r="Q587" s="509"/>
    </row>
    <row r="588" spans="1:17" ht="27" outlineLevel="5" thickBot="1" x14ac:dyDescent="0.45">
      <c r="A588" s="71"/>
      <c r="B588" s="6"/>
      <c r="C588" s="6"/>
      <c r="D588" s="9" t="s">
        <v>240</v>
      </c>
      <c r="E588" s="6"/>
      <c r="F588" s="6"/>
      <c r="G588" s="6"/>
      <c r="H588" s="41"/>
      <c r="I588" s="42">
        <f>SUBTOTAL(9,I587:I587)</f>
        <v>456</v>
      </c>
      <c r="J588" s="42">
        <f>SUBTOTAL(9,J587:J587)</f>
        <v>4285</v>
      </c>
      <c r="K588" s="43">
        <f>SUBTOTAL(9,K587:K587)</f>
        <v>2000</v>
      </c>
      <c r="L588" s="43">
        <f>SUBTOTAL(9,L587:L587)</f>
        <v>4500</v>
      </c>
      <c r="M588" s="453">
        <f t="shared" si="121"/>
        <v>2500</v>
      </c>
      <c r="N588" s="237">
        <f>SUBTOTAL(9,N587:N587)</f>
        <v>4500</v>
      </c>
    </row>
    <row r="589" spans="1:17" outlineLevel="6" x14ac:dyDescent="0.4">
      <c r="A589" s="70">
        <v>10</v>
      </c>
      <c r="B589" s="3">
        <v>600</v>
      </c>
      <c r="C589" s="3">
        <v>0</v>
      </c>
      <c r="D589" s="3">
        <v>1700</v>
      </c>
      <c r="E589" s="3">
        <v>110</v>
      </c>
      <c r="F589" s="3">
        <v>200</v>
      </c>
      <c r="G589" s="3">
        <v>3130</v>
      </c>
      <c r="H589" s="31" t="s">
        <v>305</v>
      </c>
      <c r="I589" s="32">
        <v>34765</v>
      </c>
      <c r="J589" s="32">
        <v>28822</v>
      </c>
      <c r="K589" s="40">
        <f>28846+200</f>
        <v>29046</v>
      </c>
      <c r="L589" s="40">
        <v>32472</v>
      </c>
      <c r="M589" s="451">
        <f t="shared" si="121"/>
        <v>5282</v>
      </c>
      <c r="N589" s="417">
        <v>34328</v>
      </c>
      <c r="O589" s="29" t="s">
        <v>2356</v>
      </c>
    </row>
    <row r="590" spans="1:17" outlineLevel="6" x14ac:dyDescent="0.4">
      <c r="A590" s="70">
        <v>10</v>
      </c>
      <c r="B590" s="3">
        <v>600</v>
      </c>
      <c r="C590" s="3">
        <v>0</v>
      </c>
      <c r="D590" s="3">
        <v>1700</v>
      </c>
      <c r="E590" s="3">
        <v>110</v>
      </c>
      <c r="F590" s="3">
        <v>416</v>
      </c>
      <c r="G590" s="3">
        <v>3130</v>
      </c>
      <c r="H590" s="31" t="s">
        <v>1327</v>
      </c>
      <c r="I590" s="32">
        <v>26683</v>
      </c>
      <c r="J590" s="32">
        <v>15872</v>
      </c>
      <c r="K590" s="147">
        <f>17000+200</f>
        <v>17200</v>
      </c>
      <c r="L590" s="40">
        <v>0</v>
      </c>
      <c r="M590" s="451">
        <f t="shared" ref="M590:M609" si="122">N590-K590</f>
        <v>2800</v>
      </c>
      <c r="N590" s="418">
        <v>20000</v>
      </c>
      <c r="O590" s="29" t="s">
        <v>2462</v>
      </c>
    </row>
    <row r="591" spans="1:17" outlineLevel="6" x14ac:dyDescent="0.4">
      <c r="A591" s="70">
        <v>10</v>
      </c>
      <c r="B591" s="3">
        <v>600</v>
      </c>
      <c r="C591" s="3">
        <v>0</v>
      </c>
      <c r="D591" s="3">
        <v>1700</v>
      </c>
      <c r="E591" s="3">
        <v>120</v>
      </c>
      <c r="F591" s="3">
        <v>200</v>
      </c>
      <c r="G591" s="3">
        <v>3130</v>
      </c>
      <c r="H591" s="31" t="s">
        <v>306</v>
      </c>
      <c r="I591" s="32">
        <v>750</v>
      </c>
      <c r="J591" s="32">
        <v>0</v>
      </c>
      <c r="K591" s="40">
        <v>900</v>
      </c>
      <c r="L591" s="40">
        <v>900</v>
      </c>
      <c r="M591" s="451">
        <f t="shared" si="122"/>
        <v>0</v>
      </c>
      <c r="N591" s="417">
        <v>900</v>
      </c>
    </row>
    <row r="592" spans="1:17" outlineLevel="6" x14ac:dyDescent="0.4">
      <c r="A592" s="70">
        <v>10</v>
      </c>
      <c r="B592" s="3">
        <v>600</v>
      </c>
      <c r="C592" s="3">
        <v>0</v>
      </c>
      <c r="D592" s="3">
        <v>1700</v>
      </c>
      <c r="E592" s="3">
        <v>120</v>
      </c>
      <c r="F592" s="3" t="s">
        <v>1325</v>
      </c>
      <c r="G592" s="3">
        <v>3130</v>
      </c>
      <c r="H592" s="31" t="s">
        <v>1326</v>
      </c>
      <c r="I592" s="32">
        <v>0</v>
      </c>
      <c r="J592" s="32">
        <v>1438</v>
      </c>
      <c r="K592" s="40">
        <v>500</v>
      </c>
      <c r="L592" s="40">
        <v>0</v>
      </c>
      <c r="M592" s="451">
        <f t="shared" si="122"/>
        <v>400</v>
      </c>
      <c r="N592" s="417">
        <v>900</v>
      </c>
    </row>
    <row r="593" spans="1:17" outlineLevel="6" x14ac:dyDescent="0.4">
      <c r="A593" s="70">
        <v>10</v>
      </c>
      <c r="B593" s="3">
        <v>600</v>
      </c>
      <c r="C593" s="3">
        <v>0</v>
      </c>
      <c r="D593" s="3">
        <v>1700</v>
      </c>
      <c r="E593" s="3" t="s">
        <v>1275</v>
      </c>
      <c r="F593" s="3" t="s">
        <v>451</v>
      </c>
      <c r="G593" s="3">
        <v>3130</v>
      </c>
      <c r="H593" s="31" t="s">
        <v>1566</v>
      </c>
      <c r="I593" s="32">
        <v>0</v>
      </c>
      <c r="J593" s="32">
        <v>0</v>
      </c>
      <c r="K593" s="147">
        <v>0</v>
      </c>
      <c r="L593" s="40">
        <v>4500</v>
      </c>
      <c r="M593" s="451">
        <f t="shared" si="122"/>
        <v>4500</v>
      </c>
      <c r="N593" s="418">
        <v>4500</v>
      </c>
      <c r="Q593" s="509"/>
    </row>
    <row r="594" spans="1:17" outlineLevel="6" x14ac:dyDescent="0.4">
      <c r="A594" s="70">
        <v>10</v>
      </c>
      <c r="B594" s="3">
        <v>600</v>
      </c>
      <c r="C594" s="3">
        <v>0</v>
      </c>
      <c r="D594" s="3">
        <v>1700</v>
      </c>
      <c r="E594" s="3">
        <v>210</v>
      </c>
      <c r="F594" s="3">
        <v>200</v>
      </c>
      <c r="G594" s="3">
        <v>3130</v>
      </c>
      <c r="H594" s="31" t="s">
        <v>307</v>
      </c>
      <c r="I594" s="32">
        <v>67</v>
      </c>
      <c r="J594" s="32">
        <v>55</v>
      </c>
      <c r="K594" s="40">
        <v>66</v>
      </c>
      <c r="L594" s="40">
        <v>66</v>
      </c>
      <c r="M594" s="451">
        <f t="shared" si="122"/>
        <v>0</v>
      </c>
      <c r="N594" s="417">
        <v>66</v>
      </c>
    </row>
    <row r="595" spans="1:17" outlineLevel="6" x14ac:dyDescent="0.4">
      <c r="A595" s="70">
        <v>10</v>
      </c>
      <c r="B595" s="3">
        <v>600</v>
      </c>
      <c r="C595" s="3">
        <v>0</v>
      </c>
      <c r="D595" s="3">
        <v>1700</v>
      </c>
      <c r="E595" s="3">
        <v>210</v>
      </c>
      <c r="F595" s="3">
        <v>416</v>
      </c>
      <c r="G595" s="3">
        <v>3130</v>
      </c>
      <c r="H595" s="31" t="s">
        <v>223</v>
      </c>
      <c r="I595" s="32">
        <v>98</v>
      </c>
      <c r="J595" s="32">
        <v>60</v>
      </c>
      <c r="K595" s="40">
        <v>66</v>
      </c>
      <c r="L595" s="40">
        <v>0</v>
      </c>
      <c r="M595" s="451">
        <f t="shared" si="122"/>
        <v>0</v>
      </c>
      <c r="N595" s="417">
        <v>66</v>
      </c>
    </row>
    <row r="596" spans="1:17" outlineLevel="6" x14ac:dyDescent="0.4">
      <c r="A596" s="70">
        <v>10</v>
      </c>
      <c r="B596" s="3">
        <v>600</v>
      </c>
      <c r="C596" s="3">
        <v>0</v>
      </c>
      <c r="D596" s="3">
        <v>1700</v>
      </c>
      <c r="E596" s="3">
        <v>215</v>
      </c>
      <c r="F596" s="3">
        <v>200</v>
      </c>
      <c r="G596" s="3">
        <v>3130</v>
      </c>
      <c r="H596" s="31" t="s">
        <v>67</v>
      </c>
      <c r="I596" s="32">
        <v>74</v>
      </c>
      <c r="J596" s="32">
        <v>86</v>
      </c>
      <c r="K596" s="40">
        <f>105+1</f>
        <v>106</v>
      </c>
      <c r="L596" s="40">
        <v>114</v>
      </c>
      <c r="M596" s="451">
        <f t="shared" si="122"/>
        <v>14</v>
      </c>
      <c r="N596" s="417">
        <v>120</v>
      </c>
    </row>
    <row r="597" spans="1:17" outlineLevel="6" x14ac:dyDescent="0.4">
      <c r="A597" s="70">
        <v>10</v>
      </c>
      <c r="B597" s="3">
        <v>600</v>
      </c>
      <c r="C597" s="3">
        <v>0</v>
      </c>
      <c r="D597" s="3">
        <v>1700</v>
      </c>
      <c r="E597" s="3">
        <v>215</v>
      </c>
      <c r="F597" s="3">
        <v>416</v>
      </c>
      <c r="G597" s="3">
        <v>3130</v>
      </c>
      <c r="H597" s="31" t="s">
        <v>67</v>
      </c>
      <c r="I597" s="32">
        <v>80</v>
      </c>
      <c r="J597" s="32">
        <v>52</v>
      </c>
      <c r="K597" s="40">
        <f>52+1</f>
        <v>53</v>
      </c>
      <c r="L597" s="40">
        <v>0</v>
      </c>
      <c r="M597" s="451">
        <f t="shared" si="122"/>
        <v>10</v>
      </c>
      <c r="N597" s="417">
        <v>63</v>
      </c>
    </row>
    <row r="598" spans="1:17" outlineLevel="6" x14ac:dyDescent="0.4">
      <c r="A598" s="70">
        <v>10</v>
      </c>
      <c r="B598" s="3">
        <v>600</v>
      </c>
      <c r="C598" s="3">
        <v>0</v>
      </c>
      <c r="D598" s="3">
        <v>1700</v>
      </c>
      <c r="E598" s="3">
        <v>221</v>
      </c>
      <c r="F598" s="3">
        <v>200</v>
      </c>
      <c r="G598" s="3">
        <v>3130</v>
      </c>
      <c r="H598" s="31" t="s">
        <v>308</v>
      </c>
      <c r="I598" s="32">
        <v>830</v>
      </c>
      <c r="J598" s="32">
        <v>417</v>
      </c>
      <c r="K598" s="40">
        <f>504+3</f>
        <v>507</v>
      </c>
      <c r="L598" s="40">
        <v>550</v>
      </c>
      <c r="M598" s="451">
        <f t="shared" si="122"/>
        <v>69</v>
      </c>
      <c r="N598" s="417">
        <v>576</v>
      </c>
    </row>
    <row r="599" spans="1:17" outlineLevel="6" x14ac:dyDescent="0.4">
      <c r="A599" s="70">
        <v>10</v>
      </c>
      <c r="B599" s="3">
        <v>600</v>
      </c>
      <c r="C599" s="3">
        <v>0</v>
      </c>
      <c r="D599" s="3">
        <v>1700</v>
      </c>
      <c r="E599" s="3">
        <v>221</v>
      </c>
      <c r="F599" s="3">
        <v>416</v>
      </c>
      <c r="G599" s="3">
        <v>3130</v>
      </c>
      <c r="H599" s="31" t="s">
        <v>309</v>
      </c>
      <c r="I599" s="32">
        <v>388</v>
      </c>
      <c r="J599" s="32">
        <v>251</v>
      </c>
      <c r="K599" s="40">
        <f>254+3</f>
        <v>257</v>
      </c>
      <c r="L599" s="40">
        <v>0</v>
      </c>
      <c r="M599" s="451">
        <f t="shared" si="122"/>
        <v>47</v>
      </c>
      <c r="N599" s="417">
        <v>304</v>
      </c>
    </row>
    <row r="600" spans="1:17" outlineLevel="6" x14ac:dyDescent="0.4">
      <c r="A600" s="70">
        <v>10</v>
      </c>
      <c r="B600" s="3">
        <v>600</v>
      </c>
      <c r="C600" s="3">
        <v>0</v>
      </c>
      <c r="D600" s="3">
        <v>1700</v>
      </c>
      <c r="E600" s="3">
        <v>230</v>
      </c>
      <c r="F600" s="3">
        <v>200</v>
      </c>
      <c r="G600" s="3">
        <v>3130</v>
      </c>
      <c r="H600" s="31" t="s">
        <v>310</v>
      </c>
      <c r="I600" s="32">
        <v>4974</v>
      </c>
      <c r="J600" s="32">
        <v>5623</v>
      </c>
      <c r="K600" s="40">
        <v>7172</v>
      </c>
      <c r="L600" s="40">
        <v>7726</v>
      </c>
      <c r="M600" s="451">
        <f t="shared" si="122"/>
        <v>688</v>
      </c>
      <c r="N600" s="417">
        <v>7860</v>
      </c>
    </row>
    <row r="601" spans="1:17" outlineLevel="6" x14ac:dyDescent="0.4">
      <c r="A601" s="70">
        <v>10</v>
      </c>
      <c r="B601" s="3">
        <v>600</v>
      </c>
      <c r="C601" s="3">
        <v>0</v>
      </c>
      <c r="D601" s="3">
        <v>1700</v>
      </c>
      <c r="E601" s="3">
        <v>230</v>
      </c>
      <c r="F601" s="3">
        <v>416</v>
      </c>
      <c r="G601" s="3">
        <v>3130</v>
      </c>
      <c r="H601" s="31" t="s">
        <v>311</v>
      </c>
      <c r="I601" s="32">
        <v>5233</v>
      </c>
      <c r="J601" s="32">
        <v>3443</v>
      </c>
      <c r="K601" s="40">
        <v>3527</v>
      </c>
      <c r="L601" s="40">
        <v>0</v>
      </c>
      <c r="M601" s="451">
        <f t="shared" si="122"/>
        <v>737</v>
      </c>
      <c r="N601" s="417">
        <v>4264</v>
      </c>
    </row>
    <row r="602" spans="1:17" outlineLevel="6" x14ac:dyDescent="0.4">
      <c r="A602" s="70">
        <v>10</v>
      </c>
      <c r="B602" s="3">
        <v>600</v>
      </c>
      <c r="C602" s="3">
        <v>0</v>
      </c>
      <c r="D602" s="3">
        <v>1700</v>
      </c>
      <c r="E602" s="3">
        <v>250</v>
      </c>
      <c r="F602" s="3">
        <v>200</v>
      </c>
      <c r="G602" s="3">
        <v>3130</v>
      </c>
      <c r="H602" s="31" t="s">
        <v>312</v>
      </c>
      <c r="I602" s="32">
        <v>5699</v>
      </c>
      <c r="J602" s="32">
        <v>4947</v>
      </c>
      <c r="K602" s="40">
        <v>5879</v>
      </c>
      <c r="L602" s="40">
        <v>6132</v>
      </c>
      <c r="M602" s="451">
        <f t="shared" si="122"/>
        <v>290</v>
      </c>
      <c r="N602" s="417">
        <v>6169</v>
      </c>
    </row>
    <row r="603" spans="1:17" outlineLevel="6" x14ac:dyDescent="0.4">
      <c r="A603" s="70">
        <v>10</v>
      </c>
      <c r="B603" s="3">
        <v>600</v>
      </c>
      <c r="C603" s="3">
        <v>0</v>
      </c>
      <c r="D603" s="3">
        <v>1700</v>
      </c>
      <c r="E603" s="3">
        <v>250</v>
      </c>
      <c r="F603" s="3">
        <v>416</v>
      </c>
      <c r="G603" s="3">
        <v>3130</v>
      </c>
      <c r="H603" s="31" t="s">
        <v>313</v>
      </c>
      <c r="I603" s="32">
        <v>8343</v>
      </c>
      <c r="J603" s="32">
        <v>32</v>
      </c>
      <c r="K603" s="40">
        <v>35</v>
      </c>
      <c r="L603" s="40">
        <v>0</v>
      </c>
      <c r="M603" s="451">
        <f t="shared" si="122"/>
        <v>2</v>
      </c>
      <c r="N603" s="417">
        <v>37</v>
      </c>
    </row>
    <row r="604" spans="1:17" outlineLevel="6" x14ac:dyDescent="0.4">
      <c r="A604" s="70">
        <v>10</v>
      </c>
      <c r="B604" s="3">
        <v>600</v>
      </c>
      <c r="C604" s="3">
        <v>0</v>
      </c>
      <c r="D604" s="3">
        <v>1700</v>
      </c>
      <c r="E604" s="3" t="s">
        <v>2287</v>
      </c>
      <c r="F604" s="3" t="s">
        <v>451</v>
      </c>
      <c r="G604" s="3" t="s">
        <v>2285</v>
      </c>
      <c r="H604" s="31" t="s">
        <v>2429</v>
      </c>
      <c r="I604" s="32">
        <v>0</v>
      </c>
      <c r="J604" s="32">
        <v>699</v>
      </c>
      <c r="K604" s="40">
        <v>0</v>
      </c>
      <c r="L604" s="40">
        <v>0</v>
      </c>
      <c r="M604" s="451">
        <f t="shared" ref="M604:M605" si="123">N604-K604</f>
        <v>1165</v>
      </c>
      <c r="N604" s="417">
        <v>1165</v>
      </c>
    </row>
    <row r="605" spans="1:17" outlineLevel="6" x14ac:dyDescent="0.4">
      <c r="A605" s="70">
        <v>10</v>
      </c>
      <c r="B605" s="3">
        <v>600</v>
      </c>
      <c r="C605" s="3">
        <v>0</v>
      </c>
      <c r="D605" s="3">
        <v>1700</v>
      </c>
      <c r="E605" s="3" t="s">
        <v>2287</v>
      </c>
      <c r="F605" s="3">
        <v>416</v>
      </c>
      <c r="G605" s="3" t="s">
        <v>2285</v>
      </c>
      <c r="H605" s="31" t="s">
        <v>2430</v>
      </c>
      <c r="I605" s="32">
        <v>0</v>
      </c>
      <c r="J605" s="32">
        <v>575</v>
      </c>
      <c r="K605" s="40">
        <v>0</v>
      </c>
      <c r="L605" s="40">
        <v>0</v>
      </c>
      <c r="M605" s="451">
        <f t="shared" si="123"/>
        <v>600</v>
      </c>
      <c r="N605" s="417">
        <v>600</v>
      </c>
      <c r="Q605" s="509"/>
    </row>
    <row r="606" spans="1:17" outlineLevel="6" x14ac:dyDescent="0.4">
      <c r="A606" s="70" t="s">
        <v>40</v>
      </c>
      <c r="B606" s="3" t="s">
        <v>535</v>
      </c>
      <c r="C606" s="3" t="s">
        <v>448</v>
      </c>
      <c r="D606" s="3" t="s">
        <v>610</v>
      </c>
      <c r="E606" s="3" t="s">
        <v>611</v>
      </c>
      <c r="F606" s="3" t="s">
        <v>448</v>
      </c>
      <c r="G606" s="3" t="s">
        <v>589</v>
      </c>
      <c r="H606" s="31" t="s">
        <v>612</v>
      </c>
      <c r="I606" s="32">
        <v>1201</v>
      </c>
      <c r="J606" s="32">
        <v>0</v>
      </c>
      <c r="K606" s="40">
        <v>1000</v>
      </c>
      <c r="L606" s="40">
        <v>1000</v>
      </c>
      <c r="M606" s="451">
        <f t="shared" si="122"/>
        <v>0</v>
      </c>
      <c r="N606" s="417">
        <v>1000</v>
      </c>
      <c r="Q606" s="509"/>
    </row>
    <row r="607" spans="1:17" outlineLevel="6" x14ac:dyDescent="0.4">
      <c r="A607" s="70">
        <v>10</v>
      </c>
      <c r="B607" s="3">
        <v>600</v>
      </c>
      <c r="C607" s="3">
        <v>0</v>
      </c>
      <c r="D607" s="3">
        <v>1700</v>
      </c>
      <c r="E607" s="3">
        <v>580</v>
      </c>
      <c r="F607" s="3">
        <v>0</v>
      </c>
      <c r="G607" s="3">
        <v>3130</v>
      </c>
      <c r="H607" s="31" t="s">
        <v>1136</v>
      </c>
      <c r="I607" s="32">
        <v>350</v>
      </c>
      <c r="J607" s="32">
        <v>800</v>
      </c>
      <c r="K607" s="147">
        <v>700</v>
      </c>
      <c r="L607" s="40">
        <v>700</v>
      </c>
      <c r="M607" s="451">
        <f t="shared" si="122"/>
        <v>0</v>
      </c>
      <c r="N607" s="418">
        <v>700</v>
      </c>
    </row>
    <row r="608" spans="1:17" outlineLevel="6" x14ac:dyDescent="0.4">
      <c r="A608" s="70">
        <v>10</v>
      </c>
      <c r="B608" s="3">
        <v>600</v>
      </c>
      <c r="C608" s="3">
        <v>0</v>
      </c>
      <c r="D608" s="3">
        <v>1700</v>
      </c>
      <c r="E608" s="3">
        <v>591</v>
      </c>
      <c r="F608" s="3">
        <v>0</v>
      </c>
      <c r="G608" s="3">
        <v>3130</v>
      </c>
      <c r="H608" s="31" t="s">
        <v>1137</v>
      </c>
      <c r="I608" s="32">
        <v>14481</v>
      </c>
      <c r="J608" s="32">
        <v>17706</v>
      </c>
      <c r="K608" s="40">
        <v>17706</v>
      </c>
      <c r="L608" s="394">
        <v>20598</v>
      </c>
      <c r="M608" s="451">
        <f t="shared" si="122"/>
        <v>2892</v>
      </c>
      <c r="N608" s="417">
        <v>20598</v>
      </c>
      <c r="Q608" s="509"/>
    </row>
    <row r="609" spans="1:17" ht="27" outlineLevel="6" thickBot="1" x14ac:dyDescent="0.45">
      <c r="A609" s="70">
        <v>10</v>
      </c>
      <c r="B609" s="3">
        <v>600</v>
      </c>
      <c r="C609" s="3">
        <v>0</v>
      </c>
      <c r="D609" s="3">
        <v>1700</v>
      </c>
      <c r="E609" s="3">
        <v>600</v>
      </c>
      <c r="F609" s="3">
        <v>0</v>
      </c>
      <c r="G609" s="3">
        <v>3130</v>
      </c>
      <c r="H609" s="31" t="s">
        <v>1138</v>
      </c>
      <c r="I609" s="32">
        <v>1004</v>
      </c>
      <c r="J609" s="32">
        <v>469</v>
      </c>
      <c r="K609" s="147">
        <v>1000</v>
      </c>
      <c r="L609" s="40">
        <v>1000</v>
      </c>
      <c r="M609" s="451">
        <f t="shared" si="122"/>
        <v>0</v>
      </c>
      <c r="N609" s="418">
        <v>1000</v>
      </c>
      <c r="Q609" s="509"/>
    </row>
    <row r="610" spans="1:17" ht="27" outlineLevel="5" thickBot="1" x14ac:dyDescent="0.45">
      <c r="A610" s="71"/>
      <c r="B610" s="6"/>
      <c r="C610" s="6"/>
      <c r="D610" s="9" t="s">
        <v>314</v>
      </c>
      <c r="E610" s="6"/>
      <c r="F610" s="6"/>
      <c r="G610" s="6"/>
      <c r="H610" s="41"/>
      <c r="I610" s="42">
        <f>SUBTOTAL(9,I589:I609)</f>
        <v>105020</v>
      </c>
      <c r="J610" s="42">
        <f>SUBTOTAL(9,J589:J609)</f>
        <v>81347</v>
      </c>
      <c r="K610" s="43">
        <f>SUBTOTAL(9,K589:K609)</f>
        <v>85720</v>
      </c>
      <c r="L610" s="43">
        <f>SUBTOTAL(9,L589:L609)</f>
        <v>75758</v>
      </c>
      <c r="M610" s="453">
        <f>N610-K610</f>
        <v>19496</v>
      </c>
      <c r="N610" s="237">
        <f>SUBTOTAL(9,N589:N609)</f>
        <v>105216</v>
      </c>
    </row>
    <row r="611" spans="1:17" outlineLevel="6" x14ac:dyDescent="0.4">
      <c r="A611" s="70">
        <v>10</v>
      </c>
      <c r="B611" s="3">
        <v>600</v>
      </c>
      <c r="C611" s="3">
        <v>0</v>
      </c>
      <c r="D611" s="3">
        <v>2120</v>
      </c>
      <c r="E611" s="3">
        <v>110</v>
      </c>
      <c r="F611" s="3">
        <v>200</v>
      </c>
      <c r="G611" s="3">
        <v>0</v>
      </c>
      <c r="H611" s="31" t="s">
        <v>315</v>
      </c>
      <c r="I611" s="32">
        <v>38670</v>
      </c>
      <c r="J611" s="32">
        <v>45604</v>
      </c>
      <c r="K611" s="348">
        <f>45404+200</f>
        <v>45604</v>
      </c>
      <c r="L611" s="141">
        <f>47573+200</f>
        <v>47773</v>
      </c>
      <c r="M611" s="451">
        <f>N611-K611</f>
        <v>2169</v>
      </c>
      <c r="N611" s="415">
        <v>47773</v>
      </c>
      <c r="O611" s="29" t="s">
        <v>1536</v>
      </c>
      <c r="Q611" s="509"/>
    </row>
    <row r="612" spans="1:17" outlineLevel="6" x14ac:dyDescent="0.4">
      <c r="A612" s="70">
        <v>10</v>
      </c>
      <c r="B612" s="3">
        <v>600</v>
      </c>
      <c r="C612" s="3">
        <v>0</v>
      </c>
      <c r="D612" s="3">
        <v>2120</v>
      </c>
      <c r="E612" s="3">
        <v>110</v>
      </c>
      <c r="F612" s="3" t="s">
        <v>570</v>
      </c>
      <c r="G612" s="3" t="s">
        <v>1256</v>
      </c>
      <c r="H612" s="31" t="s">
        <v>2281</v>
      </c>
      <c r="I612" s="32">
        <v>0</v>
      </c>
      <c r="J612" s="32">
        <v>804</v>
      </c>
      <c r="K612" s="348">
        <v>0</v>
      </c>
      <c r="L612" s="141">
        <v>0</v>
      </c>
      <c r="M612" s="451">
        <f>N612-K612</f>
        <v>0</v>
      </c>
      <c r="N612" s="415">
        <v>0</v>
      </c>
    </row>
    <row r="613" spans="1:17" outlineLevel="6" x14ac:dyDescent="0.4">
      <c r="A613" s="70">
        <v>10</v>
      </c>
      <c r="B613" s="3">
        <v>600</v>
      </c>
      <c r="C613" s="3">
        <v>0</v>
      </c>
      <c r="D613" s="3">
        <v>2120</v>
      </c>
      <c r="E613" s="3">
        <v>210</v>
      </c>
      <c r="F613" s="3">
        <v>200</v>
      </c>
      <c r="G613" s="3">
        <v>0</v>
      </c>
      <c r="H613" s="31" t="s">
        <v>316</v>
      </c>
      <c r="I613" s="32">
        <v>66</v>
      </c>
      <c r="J613" s="32">
        <v>38</v>
      </c>
      <c r="K613" s="346">
        <v>66</v>
      </c>
      <c r="L613" s="141">
        <v>66</v>
      </c>
      <c r="M613" s="451">
        <f t="shared" ref="M613:M624" si="124">N613-K613</f>
        <v>0</v>
      </c>
      <c r="N613" s="414">
        <v>66</v>
      </c>
    </row>
    <row r="614" spans="1:17" outlineLevel="6" x14ac:dyDescent="0.4">
      <c r="A614" s="70">
        <v>10</v>
      </c>
      <c r="B614" s="3">
        <v>600</v>
      </c>
      <c r="C614" s="3">
        <v>0</v>
      </c>
      <c r="D614" s="3">
        <v>2120</v>
      </c>
      <c r="E614" s="3">
        <v>215</v>
      </c>
      <c r="F614" s="3">
        <v>200</v>
      </c>
      <c r="G614" s="3">
        <v>0</v>
      </c>
      <c r="H614" s="31" t="s">
        <v>67</v>
      </c>
      <c r="I614" s="32">
        <v>115</v>
      </c>
      <c r="J614" s="32">
        <v>137</v>
      </c>
      <c r="K614" s="346">
        <f>116+1</f>
        <v>117</v>
      </c>
      <c r="L614" s="141">
        <v>144</v>
      </c>
      <c r="M614" s="451">
        <f t="shared" si="124"/>
        <v>27</v>
      </c>
      <c r="N614" s="414">
        <v>144</v>
      </c>
    </row>
    <row r="615" spans="1:17" outlineLevel="6" x14ac:dyDescent="0.4">
      <c r="A615" s="70">
        <v>10</v>
      </c>
      <c r="B615" s="3">
        <v>600</v>
      </c>
      <c r="C615" s="3">
        <v>0</v>
      </c>
      <c r="D615" s="3">
        <v>2120</v>
      </c>
      <c r="E615" s="3">
        <v>215</v>
      </c>
      <c r="F615" s="3" t="s">
        <v>570</v>
      </c>
      <c r="G615" s="3" t="s">
        <v>1256</v>
      </c>
      <c r="H615" s="31" t="s">
        <v>2282</v>
      </c>
      <c r="I615" s="32">
        <v>0</v>
      </c>
      <c r="J615" s="32">
        <v>2</v>
      </c>
      <c r="K615" s="346">
        <v>0</v>
      </c>
      <c r="L615" s="141">
        <v>0</v>
      </c>
      <c r="M615" s="451">
        <f t="shared" ref="M615" si="125">N615-K615</f>
        <v>0</v>
      </c>
      <c r="N615" s="414">
        <v>0</v>
      </c>
    </row>
    <row r="616" spans="1:17" outlineLevel="6" x14ac:dyDescent="0.4">
      <c r="A616" s="70">
        <v>10</v>
      </c>
      <c r="B616" s="3">
        <v>600</v>
      </c>
      <c r="C616" s="3">
        <v>0</v>
      </c>
      <c r="D616" s="3">
        <v>2120</v>
      </c>
      <c r="E616" s="3">
        <v>221</v>
      </c>
      <c r="F616" s="3">
        <v>200</v>
      </c>
      <c r="G616" s="3">
        <v>0</v>
      </c>
      <c r="H616" s="31" t="s">
        <v>317</v>
      </c>
      <c r="I616" s="32">
        <v>555</v>
      </c>
      <c r="J616" s="32">
        <v>661</v>
      </c>
      <c r="K616" s="346">
        <f>559+3</f>
        <v>562</v>
      </c>
      <c r="L616" s="141">
        <v>693</v>
      </c>
      <c r="M616" s="451">
        <f t="shared" si="124"/>
        <v>131</v>
      </c>
      <c r="N616" s="414">
        <v>693</v>
      </c>
    </row>
    <row r="617" spans="1:17" outlineLevel="6" x14ac:dyDescent="0.4">
      <c r="A617" s="70">
        <v>10</v>
      </c>
      <c r="B617" s="3">
        <v>600</v>
      </c>
      <c r="C617" s="3">
        <v>0</v>
      </c>
      <c r="D617" s="3">
        <v>2120</v>
      </c>
      <c r="E617" s="3">
        <v>221</v>
      </c>
      <c r="F617" s="3" t="s">
        <v>570</v>
      </c>
      <c r="G617" s="3" t="s">
        <v>1256</v>
      </c>
      <c r="H617" s="31" t="s">
        <v>2283</v>
      </c>
      <c r="I617" s="32">
        <v>0</v>
      </c>
      <c r="J617" s="32">
        <v>12</v>
      </c>
      <c r="K617" s="346">
        <v>0</v>
      </c>
      <c r="L617" s="141">
        <v>0</v>
      </c>
      <c r="M617" s="451">
        <f t="shared" ref="M617" si="126">N617-K617</f>
        <v>0</v>
      </c>
      <c r="N617" s="414">
        <v>0</v>
      </c>
    </row>
    <row r="618" spans="1:17" outlineLevel="6" x14ac:dyDescent="0.4">
      <c r="A618" s="70">
        <v>10</v>
      </c>
      <c r="B618" s="3">
        <v>600</v>
      </c>
      <c r="C618" s="3">
        <v>0</v>
      </c>
      <c r="D618" s="3">
        <v>2120</v>
      </c>
      <c r="E618" s="3">
        <v>230</v>
      </c>
      <c r="F618" s="3">
        <v>200</v>
      </c>
      <c r="G618" s="3">
        <v>0</v>
      </c>
      <c r="H618" s="31" t="s">
        <v>318</v>
      </c>
      <c r="I618" s="32">
        <v>7595</v>
      </c>
      <c r="J618" s="32">
        <v>9144</v>
      </c>
      <c r="K618" s="346">
        <v>7761</v>
      </c>
      <c r="L618" s="141">
        <v>9746</v>
      </c>
      <c r="M618" s="451">
        <f t="shared" si="124"/>
        <v>1985</v>
      </c>
      <c r="N618" s="414">
        <v>9746</v>
      </c>
    </row>
    <row r="619" spans="1:17" outlineLevel="6" x14ac:dyDescent="0.4">
      <c r="A619" s="70">
        <v>10</v>
      </c>
      <c r="B619" s="3">
        <v>600</v>
      </c>
      <c r="C619" s="3">
        <v>0</v>
      </c>
      <c r="D619" s="3">
        <v>2120</v>
      </c>
      <c r="E619" s="3">
        <v>250</v>
      </c>
      <c r="F619" s="3">
        <v>200</v>
      </c>
      <c r="G619" s="3">
        <v>0</v>
      </c>
      <c r="H619" s="31" t="s">
        <v>319</v>
      </c>
      <c r="I619" s="32">
        <v>5717</v>
      </c>
      <c r="J619" s="32">
        <v>5434</v>
      </c>
      <c r="K619" s="346">
        <v>5879</v>
      </c>
      <c r="L619" s="141">
        <v>6132</v>
      </c>
      <c r="M619" s="451">
        <f t="shared" si="124"/>
        <v>290</v>
      </c>
      <c r="N619" s="414">
        <v>6169</v>
      </c>
    </row>
    <row r="620" spans="1:17" outlineLevel="6" x14ac:dyDescent="0.4">
      <c r="A620" s="70">
        <v>10</v>
      </c>
      <c r="B620" s="3">
        <v>600</v>
      </c>
      <c r="C620" s="3">
        <v>0</v>
      </c>
      <c r="D620" s="3">
        <v>2120</v>
      </c>
      <c r="E620" s="3" t="s">
        <v>2287</v>
      </c>
      <c r="F620" s="3">
        <v>200</v>
      </c>
      <c r="G620" s="3" t="s">
        <v>2285</v>
      </c>
      <c r="H620" s="31" t="s">
        <v>2431</v>
      </c>
      <c r="I620" s="32">
        <v>0</v>
      </c>
      <c r="J620" s="32">
        <v>1210</v>
      </c>
      <c r="K620" s="346">
        <v>0</v>
      </c>
      <c r="L620" s="141">
        <v>0</v>
      </c>
      <c r="M620" s="451">
        <f t="shared" ref="M620" si="127">N620-K620</f>
        <v>1433</v>
      </c>
      <c r="N620" s="414">
        <v>1433</v>
      </c>
      <c r="Q620" s="509"/>
    </row>
    <row r="621" spans="1:17" outlineLevel="6" x14ac:dyDescent="0.4">
      <c r="A621" s="70" t="s">
        <v>40</v>
      </c>
      <c r="B621" s="3" t="s">
        <v>535</v>
      </c>
      <c r="C621" s="3" t="s">
        <v>448</v>
      </c>
      <c r="D621" s="3" t="s">
        <v>550</v>
      </c>
      <c r="E621" s="3" t="s">
        <v>531</v>
      </c>
      <c r="F621" s="3" t="s">
        <v>451</v>
      </c>
      <c r="G621" s="3" t="s">
        <v>529</v>
      </c>
      <c r="H621" s="31" t="s">
        <v>324</v>
      </c>
      <c r="I621" s="32">
        <v>598</v>
      </c>
      <c r="J621" s="32">
        <v>589</v>
      </c>
      <c r="K621" s="346">
        <v>600</v>
      </c>
      <c r="L621" s="141">
        <v>600</v>
      </c>
      <c r="M621" s="451">
        <f t="shared" si="124"/>
        <v>0</v>
      </c>
      <c r="N621" s="414">
        <v>600</v>
      </c>
      <c r="Q621" s="509"/>
    </row>
    <row r="622" spans="1:17" outlineLevel="6" x14ac:dyDescent="0.4">
      <c r="A622" s="70">
        <v>10</v>
      </c>
      <c r="B622" s="3">
        <v>600</v>
      </c>
      <c r="C622" s="3">
        <v>0</v>
      </c>
      <c r="D622" s="3">
        <v>2120</v>
      </c>
      <c r="E622" s="3">
        <v>600</v>
      </c>
      <c r="F622" s="3">
        <v>0</v>
      </c>
      <c r="G622" s="3">
        <v>0</v>
      </c>
      <c r="H622" s="31" t="s">
        <v>320</v>
      </c>
      <c r="I622" s="32">
        <v>469</v>
      </c>
      <c r="J622" s="32">
        <v>788</v>
      </c>
      <c r="K622" s="346">
        <v>2000</v>
      </c>
      <c r="L622" s="141">
        <v>2000</v>
      </c>
      <c r="M622" s="451">
        <f t="shared" si="124"/>
        <v>-500</v>
      </c>
      <c r="N622" s="414">
        <v>1500</v>
      </c>
    </row>
    <row r="623" spans="1:17" outlineLevel="6" x14ac:dyDescent="0.4">
      <c r="A623" s="70">
        <v>10</v>
      </c>
      <c r="B623" s="3">
        <v>600</v>
      </c>
      <c r="C623" s="3">
        <v>0</v>
      </c>
      <c r="D623" s="3">
        <v>2120</v>
      </c>
      <c r="E623" s="3">
        <v>600</v>
      </c>
      <c r="F623" s="3">
        <v>0</v>
      </c>
      <c r="G623" s="3" t="s">
        <v>1256</v>
      </c>
      <c r="H623" s="31" t="s">
        <v>1139</v>
      </c>
      <c r="I623" s="32">
        <v>105</v>
      </c>
      <c r="J623" s="32">
        <v>1577</v>
      </c>
      <c r="K623" s="346">
        <v>2389</v>
      </c>
      <c r="L623" s="141">
        <v>0</v>
      </c>
      <c r="M623" s="451">
        <f t="shared" si="124"/>
        <v>-2389</v>
      </c>
      <c r="N623" s="414">
        <v>0</v>
      </c>
    </row>
    <row r="624" spans="1:17" ht="27" outlineLevel="6" thickBot="1" x14ac:dyDescent="0.45">
      <c r="A624" s="70">
        <v>10</v>
      </c>
      <c r="B624" s="3">
        <v>600</v>
      </c>
      <c r="C624" s="3">
        <v>0</v>
      </c>
      <c r="D624" s="3">
        <v>2120</v>
      </c>
      <c r="E624" s="3">
        <v>600</v>
      </c>
      <c r="F624" s="3">
        <v>0</v>
      </c>
      <c r="G624" s="3" t="s">
        <v>529</v>
      </c>
      <c r="H624" s="31" t="s">
        <v>1245</v>
      </c>
      <c r="I624" s="32">
        <v>0</v>
      </c>
      <c r="J624" s="32">
        <v>950</v>
      </c>
      <c r="K624" s="346">
        <v>2000</v>
      </c>
      <c r="L624" s="141">
        <v>900</v>
      </c>
      <c r="M624" s="451">
        <f t="shared" si="124"/>
        <v>-1100</v>
      </c>
      <c r="N624" s="414">
        <v>900</v>
      </c>
      <c r="Q624" s="509"/>
    </row>
    <row r="625" spans="1:17" ht="27" outlineLevel="5" thickBot="1" x14ac:dyDescent="0.45">
      <c r="A625" s="71"/>
      <c r="B625" s="6"/>
      <c r="C625" s="6"/>
      <c r="D625" s="9" t="s">
        <v>322</v>
      </c>
      <c r="E625" s="6"/>
      <c r="F625" s="6"/>
      <c r="G625" s="6"/>
      <c r="H625" s="41"/>
      <c r="I625" s="42">
        <f>SUBTOTAL(9,I611:I624)</f>
        <v>53890</v>
      </c>
      <c r="J625" s="42">
        <f>SUBTOTAL(9,J611:J624)</f>
        <v>66950</v>
      </c>
      <c r="K625" s="43">
        <f>SUBTOTAL(9,K611:K624)</f>
        <v>66978</v>
      </c>
      <c r="L625" s="43">
        <f>SUBTOTAL(9,L611:L624)</f>
        <v>68054</v>
      </c>
      <c r="M625" s="453">
        <f>N625-K625</f>
        <v>2046</v>
      </c>
      <c r="N625" s="237">
        <f>SUBTOTAL(9,N611:N624)</f>
        <v>69024</v>
      </c>
    </row>
    <row r="626" spans="1:17" outlineLevel="6" x14ac:dyDescent="0.4">
      <c r="A626" s="70">
        <v>10</v>
      </c>
      <c r="B626" s="3">
        <v>600</v>
      </c>
      <c r="C626" s="3">
        <v>0</v>
      </c>
      <c r="D626" s="3">
        <v>2130</v>
      </c>
      <c r="E626" s="3" t="s">
        <v>1264</v>
      </c>
      <c r="F626" s="3" t="s">
        <v>1268</v>
      </c>
      <c r="G626" s="3">
        <v>0</v>
      </c>
      <c r="H626" s="31" t="s">
        <v>1265</v>
      </c>
      <c r="I626" s="32">
        <v>0</v>
      </c>
      <c r="J626" s="32">
        <v>7880</v>
      </c>
      <c r="K626" s="40">
        <f>2300+200</f>
        <v>2500</v>
      </c>
      <c r="L626" s="394">
        <v>11000</v>
      </c>
      <c r="M626" s="451">
        <f>N626-K626</f>
        <v>8500</v>
      </c>
      <c r="N626" s="417">
        <v>11000</v>
      </c>
      <c r="Q626" s="509"/>
    </row>
    <row r="627" spans="1:17" outlineLevel="6" x14ac:dyDescent="0.4">
      <c r="A627" s="70">
        <v>10</v>
      </c>
      <c r="B627" s="3">
        <v>600</v>
      </c>
      <c r="C627" s="3">
        <v>0</v>
      </c>
      <c r="D627" s="3">
        <v>2130</v>
      </c>
      <c r="E627" s="3" t="s">
        <v>533</v>
      </c>
      <c r="F627" s="3" t="s">
        <v>1268</v>
      </c>
      <c r="G627" s="3">
        <v>0</v>
      </c>
      <c r="H627" s="31" t="s">
        <v>1305</v>
      </c>
      <c r="I627" s="32">
        <v>0</v>
      </c>
      <c r="J627" s="32">
        <v>24</v>
      </c>
      <c r="K627" s="40">
        <f>7+1</f>
        <v>8</v>
      </c>
      <c r="L627" s="394">
        <v>33</v>
      </c>
      <c r="M627" s="451">
        <f t="shared" ref="M627:M635" si="128">N627-K627</f>
        <v>25</v>
      </c>
      <c r="N627" s="417">
        <v>33</v>
      </c>
    </row>
    <row r="628" spans="1:17" outlineLevel="6" x14ac:dyDescent="0.4">
      <c r="A628" s="70">
        <v>10</v>
      </c>
      <c r="B628" s="3">
        <v>600</v>
      </c>
      <c r="C628" s="3">
        <v>0</v>
      </c>
      <c r="D628" s="3">
        <v>2130</v>
      </c>
      <c r="E628" s="3" t="s">
        <v>480</v>
      </c>
      <c r="F628" s="3" t="s">
        <v>1268</v>
      </c>
      <c r="G628" s="3">
        <v>0</v>
      </c>
      <c r="H628" s="31" t="s">
        <v>1306</v>
      </c>
      <c r="I628" s="32">
        <v>0</v>
      </c>
      <c r="J628" s="32">
        <v>114</v>
      </c>
      <c r="K628" s="40">
        <f>34+3</f>
        <v>37</v>
      </c>
      <c r="L628" s="394">
        <v>160</v>
      </c>
      <c r="M628" s="451">
        <f t="shared" si="128"/>
        <v>123</v>
      </c>
      <c r="N628" s="417">
        <v>160</v>
      </c>
    </row>
    <row r="629" spans="1:17" outlineLevel="6" x14ac:dyDescent="0.4">
      <c r="A629" s="70">
        <v>10</v>
      </c>
      <c r="B629" s="3">
        <v>600</v>
      </c>
      <c r="C629" s="3">
        <v>0</v>
      </c>
      <c r="D629" s="3">
        <v>2130</v>
      </c>
      <c r="E629" s="3" t="s">
        <v>534</v>
      </c>
      <c r="F629" s="3" t="s">
        <v>1268</v>
      </c>
      <c r="G629" s="3">
        <v>0</v>
      </c>
      <c r="H629" s="31" t="s">
        <v>1307</v>
      </c>
      <c r="I629" s="32">
        <v>0</v>
      </c>
      <c r="J629" s="32">
        <v>1588</v>
      </c>
      <c r="K629" s="40">
        <v>464</v>
      </c>
      <c r="L629" s="394">
        <v>2244</v>
      </c>
      <c r="M629" s="451">
        <f t="shared" si="128"/>
        <v>1780</v>
      </c>
      <c r="N629" s="417">
        <v>2244</v>
      </c>
    </row>
    <row r="630" spans="1:17" outlineLevel="6" x14ac:dyDescent="0.4">
      <c r="A630" s="70">
        <v>10</v>
      </c>
      <c r="B630" s="3">
        <v>600</v>
      </c>
      <c r="C630" s="3">
        <v>0</v>
      </c>
      <c r="D630" s="3">
        <v>2130</v>
      </c>
      <c r="E630" s="3" t="s">
        <v>2287</v>
      </c>
      <c r="F630" s="3" t="s">
        <v>1268</v>
      </c>
      <c r="G630" s="3" t="s">
        <v>2285</v>
      </c>
      <c r="H630" s="31" t="s">
        <v>2432</v>
      </c>
      <c r="I630" s="32">
        <v>0</v>
      </c>
      <c r="J630" s="32">
        <v>0</v>
      </c>
      <c r="K630" s="40">
        <v>0</v>
      </c>
      <c r="L630" s="394">
        <v>0</v>
      </c>
      <c r="M630" s="451">
        <f t="shared" ref="M630" si="129">N630-K630</f>
        <v>330</v>
      </c>
      <c r="N630" s="417">
        <v>330</v>
      </c>
      <c r="Q630" s="509"/>
    </row>
    <row r="631" spans="1:17" outlineLevel="6" x14ac:dyDescent="0.4">
      <c r="A631" s="70">
        <v>10</v>
      </c>
      <c r="B631" s="3">
        <v>600</v>
      </c>
      <c r="C631" s="3">
        <v>0</v>
      </c>
      <c r="D631" s="3">
        <v>2130</v>
      </c>
      <c r="E631" s="3">
        <v>300</v>
      </c>
      <c r="F631" s="3">
        <v>0</v>
      </c>
      <c r="G631" s="3">
        <v>0</v>
      </c>
      <c r="H631" s="31" t="s">
        <v>323</v>
      </c>
      <c r="I631" s="32">
        <v>16743</v>
      </c>
      <c r="J631" s="32">
        <v>4157</v>
      </c>
      <c r="K631" s="40">
        <v>15000</v>
      </c>
      <c r="L631" s="394">
        <v>2000</v>
      </c>
      <c r="M631" s="451">
        <f t="shared" si="128"/>
        <v>-13000</v>
      </c>
      <c r="N631" s="417">
        <v>2000</v>
      </c>
    </row>
    <row r="632" spans="1:17" outlineLevel="6" x14ac:dyDescent="0.4">
      <c r="A632" s="70" t="s">
        <v>40</v>
      </c>
      <c r="B632" s="3" t="s">
        <v>535</v>
      </c>
      <c r="C632" s="3" t="s">
        <v>448</v>
      </c>
      <c r="D632" s="3" t="s">
        <v>481</v>
      </c>
      <c r="E632" s="3" t="s">
        <v>611</v>
      </c>
      <c r="F632" s="3" t="s">
        <v>448</v>
      </c>
      <c r="G632" s="3" t="s">
        <v>1106</v>
      </c>
      <c r="H632" s="31" t="s">
        <v>1176</v>
      </c>
      <c r="I632" s="32">
        <v>0</v>
      </c>
      <c r="J632" s="32">
        <v>0</v>
      </c>
      <c r="K632" s="40">
        <v>8000</v>
      </c>
      <c r="L632" s="394">
        <v>0</v>
      </c>
      <c r="M632" s="451">
        <f t="shared" si="128"/>
        <v>-8000</v>
      </c>
      <c r="N632" s="417">
        <v>0</v>
      </c>
    </row>
    <row r="633" spans="1:17" outlineLevel="6" x14ac:dyDescent="0.4">
      <c r="A633" s="70" t="s">
        <v>40</v>
      </c>
      <c r="B633" s="3" t="s">
        <v>535</v>
      </c>
      <c r="C633" s="3" t="s">
        <v>448</v>
      </c>
      <c r="D633" s="3" t="s">
        <v>481</v>
      </c>
      <c r="E633" s="3" t="s">
        <v>611</v>
      </c>
      <c r="F633" s="3" t="s">
        <v>448</v>
      </c>
      <c r="G633" s="3" t="s">
        <v>1266</v>
      </c>
      <c r="H633" s="31" t="s">
        <v>1267</v>
      </c>
      <c r="I633" s="32">
        <v>0</v>
      </c>
      <c r="J633" s="32">
        <v>0</v>
      </c>
      <c r="K633" s="40">
        <v>5000</v>
      </c>
      <c r="L633" s="394">
        <v>0</v>
      </c>
      <c r="M633" s="451">
        <f t="shared" si="128"/>
        <v>-5000</v>
      </c>
      <c r="N633" s="417">
        <v>0</v>
      </c>
      <c r="Q633" s="509"/>
    </row>
    <row r="634" spans="1:17" outlineLevel="6" x14ac:dyDescent="0.4">
      <c r="A634" s="70">
        <v>10</v>
      </c>
      <c r="B634" s="3">
        <v>600</v>
      </c>
      <c r="C634" s="3">
        <v>0</v>
      </c>
      <c r="D634" s="3">
        <v>2130</v>
      </c>
      <c r="E634" s="3">
        <v>580</v>
      </c>
      <c r="F634" s="3">
        <v>0</v>
      </c>
      <c r="G634" s="3">
        <v>0</v>
      </c>
      <c r="H634" s="31" t="s">
        <v>324</v>
      </c>
      <c r="I634" s="32">
        <v>0</v>
      </c>
      <c r="J634" s="32">
        <v>628</v>
      </c>
      <c r="K634" s="40">
        <v>628</v>
      </c>
      <c r="L634" s="394">
        <v>500</v>
      </c>
      <c r="M634" s="451">
        <f t="shared" si="128"/>
        <v>-128</v>
      </c>
      <c r="N634" s="417">
        <v>500</v>
      </c>
      <c r="Q634" s="509"/>
    </row>
    <row r="635" spans="1:17" ht="27" outlineLevel="6" thickBot="1" x14ac:dyDescent="0.45">
      <c r="A635" s="70">
        <v>10</v>
      </c>
      <c r="B635" s="3">
        <v>600</v>
      </c>
      <c r="C635" s="3">
        <v>0</v>
      </c>
      <c r="D635" s="3">
        <v>2130</v>
      </c>
      <c r="E635" s="3">
        <v>600</v>
      </c>
      <c r="F635" s="3">
        <v>0</v>
      </c>
      <c r="G635" s="3">
        <v>0</v>
      </c>
      <c r="H635" s="31" t="s">
        <v>325</v>
      </c>
      <c r="I635" s="32">
        <v>798</v>
      </c>
      <c r="J635" s="32">
        <v>390</v>
      </c>
      <c r="K635" s="40">
        <v>800</v>
      </c>
      <c r="L635" s="394">
        <v>800</v>
      </c>
      <c r="M635" s="451">
        <f t="shared" si="128"/>
        <v>0</v>
      </c>
      <c r="N635" s="417">
        <v>800</v>
      </c>
      <c r="Q635" s="509"/>
    </row>
    <row r="636" spans="1:17" ht="27" outlineLevel="5" thickBot="1" x14ac:dyDescent="0.45">
      <c r="A636" s="71"/>
      <c r="B636" s="6"/>
      <c r="C636" s="6"/>
      <c r="D636" s="9" t="s">
        <v>326</v>
      </c>
      <c r="E636" s="6"/>
      <c r="F636" s="6"/>
      <c r="G636" s="6"/>
      <c r="H636" s="41"/>
      <c r="I636" s="42">
        <f>SUBTOTAL(9,I631:I635)</f>
        <v>17541</v>
      </c>
      <c r="J636" s="42">
        <f>SUBTOTAL(9,J626:J635)</f>
        <v>14781</v>
      </c>
      <c r="K636" s="43">
        <f>SUBTOTAL(9,K626:K635)</f>
        <v>32437</v>
      </c>
      <c r="L636" s="43">
        <f>SUBTOTAL(9,L626:L635)</f>
        <v>16737</v>
      </c>
      <c r="M636" s="453">
        <f>N636-K636</f>
        <v>-15370</v>
      </c>
      <c r="N636" s="237">
        <f>SUBTOTAL(9,N626:N635)</f>
        <v>17067</v>
      </c>
    </row>
    <row r="637" spans="1:17" outlineLevel="6" x14ac:dyDescent="0.4">
      <c r="A637" s="70">
        <v>10</v>
      </c>
      <c r="B637" s="3">
        <v>600</v>
      </c>
      <c r="C637" s="3">
        <v>0</v>
      </c>
      <c r="D637" s="3">
        <v>2222</v>
      </c>
      <c r="E637" s="3" t="s">
        <v>526</v>
      </c>
      <c r="F637" s="3">
        <v>400</v>
      </c>
      <c r="G637" s="3">
        <v>0</v>
      </c>
      <c r="H637" s="31" t="s">
        <v>1230</v>
      </c>
      <c r="I637" s="32">
        <v>10306</v>
      </c>
      <c r="J637" s="32">
        <v>23150</v>
      </c>
      <c r="K637" s="147">
        <f>22950+200</f>
        <v>23150</v>
      </c>
      <c r="L637" s="40">
        <v>23473</v>
      </c>
      <c r="M637" s="451">
        <f>N637-K637</f>
        <v>323</v>
      </c>
      <c r="N637" s="418">
        <v>23473</v>
      </c>
      <c r="O637" s="29" t="s">
        <v>1466</v>
      </c>
    </row>
    <row r="638" spans="1:17" outlineLevel="6" x14ac:dyDescent="0.4">
      <c r="A638" s="70">
        <v>10</v>
      </c>
      <c r="B638" s="3">
        <v>600</v>
      </c>
      <c r="C638" s="3">
        <v>0</v>
      </c>
      <c r="D638" s="3">
        <v>2222</v>
      </c>
      <c r="E638" s="3" t="s">
        <v>1275</v>
      </c>
      <c r="F638" s="3">
        <v>400</v>
      </c>
      <c r="G638" s="3">
        <v>0</v>
      </c>
      <c r="H638" s="31" t="s">
        <v>2284</v>
      </c>
      <c r="I638" s="32">
        <v>0</v>
      </c>
      <c r="J638" s="32">
        <v>33</v>
      </c>
      <c r="K638" s="147">
        <v>0</v>
      </c>
      <c r="L638" s="40">
        <v>0</v>
      </c>
      <c r="M638" s="451">
        <f>N638-K638</f>
        <v>256</v>
      </c>
      <c r="N638" s="418">
        <v>256</v>
      </c>
      <c r="O638" s="29" t="s">
        <v>2449</v>
      </c>
      <c r="Q638" s="509"/>
    </row>
    <row r="639" spans="1:17" outlineLevel="6" x14ac:dyDescent="0.4">
      <c r="A639" s="70">
        <v>10</v>
      </c>
      <c r="B639" s="3">
        <v>600</v>
      </c>
      <c r="C639" s="3">
        <v>0</v>
      </c>
      <c r="D639" s="3">
        <v>2222</v>
      </c>
      <c r="E639" s="3">
        <v>210</v>
      </c>
      <c r="F639" s="3">
        <v>400</v>
      </c>
      <c r="G639" s="3">
        <v>0</v>
      </c>
      <c r="H639" s="31" t="s">
        <v>1231</v>
      </c>
      <c r="I639" s="32">
        <v>33</v>
      </c>
      <c r="J639" s="32">
        <v>62</v>
      </c>
      <c r="K639" s="40">
        <v>52</v>
      </c>
      <c r="L639" s="40">
        <v>66</v>
      </c>
      <c r="M639" s="451">
        <f t="shared" ref="M639:M652" si="130">N639-K639</f>
        <v>14</v>
      </c>
      <c r="N639" s="417">
        <v>66</v>
      </c>
    </row>
    <row r="640" spans="1:17" outlineLevel="6" x14ac:dyDescent="0.4">
      <c r="A640" s="70">
        <v>10</v>
      </c>
      <c r="B640" s="3">
        <v>600</v>
      </c>
      <c r="C640" s="3">
        <v>0</v>
      </c>
      <c r="D640" s="3">
        <v>2222</v>
      </c>
      <c r="E640" s="3">
        <v>215</v>
      </c>
      <c r="F640" s="3">
        <v>400</v>
      </c>
      <c r="G640" s="3">
        <v>0</v>
      </c>
      <c r="H640" s="31" t="s">
        <v>67</v>
      </c>
      <c r="I640" s="32">
        <v>29</v>
      </c>
      <c r="J640" s="32">
        <v>69</v>
      </c>
      <c r="K640" s="40">
        <f>55+1</f>
        <v>56</v>
      </c>
      <c r="L640" s="40">
        <v>71</v>
      </c>
      <c r="M640" s="451">
        <f t="shared" si="130"/>
        <v>16</v>
      </c>
      <c r="N640" s="417">
        <v>72</v>
      </c>
    </row>
    <row r="641" spans="1:17" outlineLevel="6" x14ac:dyDescent="0.4">
      <c r="A641" s="70">
        <v>10</v>
      </c>
      <c r="B641" s="3">
        <v>600</v>
      </c>
      <c r="C641" s="3">
        <v>0</v>
      </c>
      <c r="D641" s="3">
        <v>2222</v>
      </c>
      <c r="E641" s="3">
        <v>221</v>
      </c>
      <c r="F641" s="3">
        <v>400</v>
      </c>
      <c r="G641" s="3">
        <v>0</v>
      </c>
      <c r="H641" s="31" t="s">
        <v>1232</v>
      </c>
      <c r="I641" s="32">
        <v>142</v>
      </c>
      <c r="J641" s="32">
        <v>333</v>
      </c>
      <c r="K641" s="40">
        <f>266+3</f>
        <v>269</v>
      </c>
      <c r="L641" s="40">
        <v>341</v>
      </c>
      <c r="M641" s="451">
        <f t="shared" si="130"/>
        <v>75</v>
      </c>
      <c r="N641" s="417">
        <v>344</v>
      </c>
    </row>
    <row r="642" spans="1:17" outlineLevel="6" x14ac:dyDescent="0.4">
      <c r="A642" s="70">
        <v>10</v>
      </c>
      <c r="B642" s="3">
        <v>600</v>
      </c>
      <c r="C642" s="3">
        <v>0</v>
      </c>
      <c r="D642" s="3">
        <v>2222</v>
      </c>
      <c r="E642" s="3">
        <v>230</v>
      </c>
      <c r="F642" s="3">
        <v>400</v>
      </c>
      <c r="G642" s="3">
        <v>0</v>
      </c>
      <c r="H642" s="31" t="s">
        <v>1250</v>
      </c>
      <c r="I642" s="32">
        <v>1910</v>
      </c>
      <c r="J642" s="32">
        <v>4555</v>
      </c>
      <c r="K642" s="40">
        <v>3688</v>
      </c>
      <c r="L642" s="40">
        <v>4789</v>
      </c>
      <c r="M642" s="451">
        <f t="shared" si="130"/>
        <v>1101</v>
      </c>
      <c r="N642" s="417">
        <v>4789</v>
      </c>
    </row>
    <row r="643" spans="1:17" outlineLevel="6" x14ac:dyDescent="0.4">
      <c r="A643" s="70">
        <v>10</v>
      </c>
      <c r="B643" s="3">
        <v>600</v>
      </c>
      <c r="C643" s="3">
        <v>0</v>
      </c>
      <c r="D643" s="3">
        <v>2222</v>
      </c>
      <c r="E643" s="3">
        <v>250</v>
      </c>
      <c r="F643" s="3">
        <v>400</v>
      </c>
      <c r="G643" s="3">
        <v>0</v>
      </c>
      <c r="H643" s="31" t="s">
        <v>1233</v>
      </c>
      <c r="I643" s="32">
        <v>2857</v>
      </c>
      <c r="J643" s="32">
        <v>5553</v>
      </c>
      <c r="K643" s="40">
        <v>4687</v>
      </c>
      <c r="L643" s="40">
        <v>6132</v>
      </c>
      <c r="M643" s="451">
        <f t="shared" si="130"/>
        <v>1482</v>
      </c>
      <c r="N643" s="417">
        <v>6169</v>
      </c>
    </row>
    <row r="644" spans="1:17" outlineLevel="6" x14ac:dyDescent="0.4">
      <c r="A644" s="70">
        <v>10</v>
      </c>
      <c r="B644" s="3">
        <v>600</v>
      </c>
      <c r="C644" s="3">
        <v>0</v>
      </c>
      <c r="D644" s="3">
        <v>2222</v>
      </c>
      <c r="E644" s="3" t="s">
        <v>2287</v>
      </c>
      <c r="F644" s="3">
        <v>400</v>
      </c>
      <c r="G644" s="3" t="s">
        <v>2285</v>
      </c>
      <c r="H644" s="31" t="s">
        <v>2433</v>
      </c>
      <c r="I644" s="32">
        <v>0</v>
      </c>
      <c r="J644" s="32">
        <v>620</v>
      </c>
      <c r="K644" s="40">
        <v>0</v>
      </c>
      <c r="L644" s="40">
        <v>0</v>
      </c>
      <c r="M644" s="451">
        <f>N644-K644</f>
        <v>704</v>
      </c>
      <c r="N644" s="417">
        <v>704</v>
      </c>
      <c r="Q644" s="509"/>
    </row>
    <row r="645" spans="1:17" outlineLevel="6" x14ac:dyDescent="0.4">
      <c r="A645" s="70">
        <v>10</v>
      </c>
      <c r="B645" s="3">
        <v>600</v>
      </c>
      <c r="C645" s="3">
        <v>0</v>
      </c>
      <c r="D645" s="3">
        <v>2222</v>
      </c>
      <c r="E645" s="3">
        <v>300</v>
      </c>
      <c r="F645" s="3">
        <v>0</v>
      </c>
      <c r="G645" s="3">
        <v>0</v>
      </c>
      <c r="H645" s="31" t="s">
        <v>327</v>
      </c>
      <c r="I645" s="32">
        <v>0</v>
      </c>
      <c r="J645" s="32">
        <v>0</v>
      </c>
      <c r="K645" s="40">
        <v>1000</v>
      </c>
      <c r="L645" s="40">
        <v>1000</v>
      </c>
      <c r="M645" s="451">
        <f t="shared" si="130"/>
        <v>2000</v>
      </c>
      <c r="N645" s="417">
        <v>3000</v>
      </c>
      <c r="Q645" s="509"/>
    </row>
    <row r="646" spans="1:17" outlineLevel="6" x14ac:dyDescent="0.4">
      <c r="A646" s="70">
        <v>10</v>
      </c>
      <c r="B646" s="3">
        <v>600</v>
      </c>
      <c r="C646" s="3">
        <v>0</v>
      </c>
      <c r="D646" s="3">
        <v>2222</v>
      </c>
      <c r="E646" s="3">
        <v>580</v>
      </c>
      <c r="F646" s="3">
        <v>0</v>
      </c>
      <c r="G646" s="3">
        <v>0</v>
      </c>
      <c r="H646" s="31" t="s">
        <v>328</v>
      </c>
      <c r="I646" s="32">
        <v>0</v>
      </c>
      <c r="J646" s="32">
        <v>380</v>
      </c>
      <c r="K646" s="40">
        <v>380</v>
      </c>
      <c r="L646" s="40">
        <v>400</v>
      </c>
      <c r="M646" s="451">
        <f t="shared" si="130"/>
        <v>20</v>
      </c>
      <c r="N646" s="417">
        <v>400</v>
      </c>
      <c r="Q646" s="509"/>
    </row>
    <row r="647" spans="1:17" outlineLevel="6" x14ac:dyDescent="0.4">
      <c r="A647" s="70">
        <v>10</v>
      </c>
      <c r="B647" s="3">
        <v>600</v>
      </c>
      <c r="C647" s="3">
        <v>0</v>
      </c>
      <c r="D647" s="3">
        <v>2222</v>
      </c>
      <c r="E647" s="3">
        <v>600</v>
      </c>
      <c r="F647" s="3">
        <v>0</v>
      </c>
      <c r="G647" s="3">
        <v>0</v>
      </c>
      <c r="H647" s="31" t="s">
        <v>329</v>
      </c>
      <c r="I647" s="32">
        <v>663</v>
      </c>
      <c r="J647" s="32">
        <v>812</v>
      </c>
      <c r="K647" s="40">
        <v>800</v>
      </c>
      <c r="L647" s="40">
        <v>800</v>
      </c>
      <c r="M647" s="451">
        <f t="shared" si="130"/>
        <v>0</v>
      </c>
      <c r="N647" s="417">
        <v>800</v>
      </c>
    </row>
    <row r="648" spans="1:17" outlineLevel="6" x14ac:dyDescent="0.4">
      <c r="A648" s="70">
        <v>10</v>
      </c>
      <c r="B648" s="3">
        <v>600</v>
      </c>
      <c r="C648" s="3">
        <v>0</v>
      </c>
      <c r="D648" s="3">
        <v>2222</v>
      </c>
      <c r="E648" s="3">
        <v>640</v>
      </c>
      <c r="F648" s="3">
        <v>0</v>
      </c>
      <c r="G648" s="3">
        <v>0</v>
      </c>
      <c r="H648" s="31" t="s">
        <v>330</v>
      </c>
      <c r="I648" s="32">
        <v>602</v>
      </c>
      <c r="J648" s="32">
        <v>375</v>
      </c>
      <c r="K648" s="40">
        <v>500</v>
      </c>
      <c r="L648" s="40">
        <v>500</v>
      </c>
      <c r="M648" s="451">
        <f t="shared" si="130"/>
        <v>1208</v>
      </c>
      <c r="N648" s="417">
        <v>1708</v>
      </c>
      <c r="O648" s="29" t="s">
        <v>2453</v>
      </c>
    </row>
    <row r="649" spans="1:17" outlineLevel="6" x14ac:dyDescent="0.4">
      <c r="A649" s="70">
        <v>10</v>
      </c>
      <c r="B649" s="3">
        <v>600</v>
      </c>
      <c r="C649" s="3">
        <v>0</v>
      </c>
      <c r="D649" s="3">
        <v>2222</v>
      </c>
      <c r="E649" s="3">
        <v>640</v>
      </c>
      <c r="F649" s="3">
        <v>0</v>
      </c>
      <c r="G649" s="3">
        <v>3207</v>
      </c>
      <c r="H649" s="31" t="s">
        <v>331</v>
      </c>
      <c r="I649" s="32">
        <v>3500</v>
      </c>
      <c r="J649" s="32">
        <v>3500</v>
      </c>
      <c r="K649" s="40">
        <v>3500</v>
      </c>
      <c r="L649" s="40">
        <v>3500</v>
      </c>
      <c r="M649" s="451">
        <f t="shared" si="130"/>
        <v>1000</v>
      </c>
      <c r="N649" s="417">
        <v>4500</v>
      </c>
    </row>
    <row r="650" spans="1:17" outlineLevel="6" x14ac:dyDescent="0.4">
      <c r="A650" s="70">
        <v>10</v>
      </c>
      <c r="B650" s="3">
        <v>600</v>
      </c>
      <c r="C650" s="3">
        <v>0</v>
      </c>
      <c r="D650" s="3">
        <v>2222</v>
      </c>
      <c r="E650" s="3">
        <v>641</v>
      </c>
      <c r="F650" s="3">
        <v>0</v>
      </c>
      <c r="G650" s="3">
        <v>0</v>
      </c>
      <c r="H650" s="31" t="s">
        <v>332</v>
      </c>
      <c r="I650" s="32">
        <v>524</v>
      </c>
      <c r="J650" s="32">
        <v>834</v>
      </c>
      <c r="K650" s="40">
        <v>850</v>
      </c>
      <c r="L650" s="40">
        <v>850</v>
      </c>
      <c r="M650" s="451">
        <f t="shared" si="130"/>
        <v>0</v>
      </c>
      <c r="N650" s="417">
        <v>850</v>
      </c>
      <c r="Q650" s="509"/>
    </row>
    <row r="651" spans="1:17" outlineLevel="6" x14ac:dyDescent="0.4">
      <c r="A651" s="70">
        <v>10</v>
      </c>
      <c r="B651" s="3">
        <v>600</v>
      </c>
      <c r="C651" s="3">
        <v>0</v>
      </c>
      <c r="D651" s="3">
        <v>2222</v>
      </c>
      <c r="E651" s="3">
        <v>735</v>
      </c>
      <c r="F651" s="3">
        <v>0</v>
      </c>
      <c r="G651" s="3">
        <v>0</v>
      </c>
      <c r="H651" s="31" t="s">
        <v>333</v>
      </c>
      <c r="I651" s="32">
        <v>0</v>
      </c>
      <c r="J651" s="32">
        <v>227</v>
      </c>
      <c r="K651" s="40">
        <v>300</v>
      </c>
      <c r="L651" s="40">
        <v>600</v>
      </c>
      <c r="M651" s="451">
        <f t="shared" si="130"/>
        <v>300</v>
      </c>
      <c r="N651" s="417">
        <v>600</v>
      </c>
    </row>
    <row r="652" spans="1:17" ht="27" outlineLevel="6" thickBot="1" x14ac:dyDescent="0.45">
      <c r="A652" s="70">
        <v>10</v>
      </c>
      <c r="B652" s="3">
        <v>600</v>
      </c>
      <c r="C652" s="3">
        <v>0</v>
      </c>
      <c r="D652" s="3">
        <v>2222</v>
      </c>
      <c r="E652" s="3">
        <v>735</v>
      </c>
      <c r="F652" s="3">
        <v>0</v>
      </c>
      <c r="G652" s="3" t="s">
        <v>1323</v>
      </c>
      <c r="H652" s="31" t="s">
        <v>1384</v>
      </c>
      <c r="I652" s="32">
        <v>0</v>
      </c>
      <c r="J652" s="32">
        <v>300</v>
      </c>
      <c r="K652" s="40">
        <v>300</v>
      </c>
      <c r="L652" s="40">
        <v>0</v>
      </c>
      <c r="M652" s="451">
        <f t="shared" si="130"/>
        <v>-300</v>
      </c>
      <c r="N652" s="417">
        <v>0</v>
      </c>
    </row>
    <row r="653" spans="1:17" s="36" customFormat="1" ht="27" outlineLevel="5" thickBot="1" x14ac:dyDescent="0.45">
      <c r="A653" s="76"/>
      <c r="B653" s="9"/>
      <c r="C653" s="9"/>
      <c r="D653" s="9" t="s">
        <v>334</v>
      </c>
      <c r="E653" s="9"/>
      <c r="F653" s="9"/>
      <c r="G653" s="9"/>
      <c r="H653" s="44"/>
      <c r="I653" s="42">
        <f>SUBTOTAL(9,I637:I652)</f>
        <v>20566</v>
      </c>
      <c r="J653" s="42">
        <f>SUBTOTAL(9,J637:J652)</f>
        <v>40803</v>
      </c>
      <c r="K653" s="43">
        <f>SUBTOTAL(9,K637:K652)</f>
        <v>39532</v>
      </c>
      <c r="L653" s="43">
        <f>SUBTOTAL(9,L637:L652)</f>
        <v>42522</v>
      </c>
      <c r="M653" s="453">
        <f>N653-K653</f>
        <v>8199</v>
      </c>
      <c r="N653" s="237">
        <f>SUBTOTAL(9,N637:N652)</f>
        <v>47731</v>
      </c>
    </row>
    <row r="654" spans="1:17" outlineLevel="5" x14ac:dyDescent="0.4">
      <c r="A654" s="142" t="s">
        <v>40</v>
      </c>
      <c r="B654" s="143" t="s">
        <v>535</v>
      </c>
      <c r="C654" s="143" t="s">
        <v>448</v>
      </c>
      <c r="D654" s="143" t="s">
        <v>551</v>
      </c>
      <c r="E654" s="143" t="s">
        <v>526</v>
      </c>
      <c r="F654" s="143" t="s">
        <v>1328</v>
      </c>
      <c r="G654" s="143" t="s">
        <v>448</v>
      </c>
      <c r="H654" s="145" t="s">
        <v>1329</v>
      </c>
      <c r="I654" s="146">
        <v>0</v>
      </c>
      <c r="J654" s="146">
        <v>1600</v>
      </c>
      <c r="K654" s="147">
        <v>1600</v>
      </c>
      <c r="L654" s="147">
        <v>1600</v>
      </c>
      <c r="M654" s="451">
        <f>N654-K654</f>
        <v>200</v>
      </c>
      <c r="N654" s="418">
        <v>1800</v>
      </c>
      <c r="O654" s="29" t="s">
        <v>1478</v>
      </c>
      <c r="Q654" s="509"/>
    </row>
    <row r="655" spans="1:17" outlineLevel="5" x14ac:dyDescent="0.4">
      <c r="A655" s="142" t="s">
        <v>40</v>
      </c>
      <c r="B655" s="143" t="s">
        <v>535</v>
      </c>
      <c r="C655" s="143" t="s">
        <v>448</v>
      </c>
      <c r="D655" s="143" t="s">
        <v>551</v>
      </c>
      <c r="E655" s="143" t="s">
        <v>533</v>
      </c>
      <c r="F655" s="143" t="s">
        <v>1328</v>
      </c>
      <c r="G655" s="143" t="s">
        <v>448</v>
      </c>
      <c r="H655" s="145" t="s">
        <v>1330</v>
      </c>
      <c r="I655" s="146">
        <v>0</v>
      </c>
      <c r="J655" s="146">
        <v>4</v>
      </c>
      <c r="K655" s="147">
        <v>5</v>
      </c>
      <c r="L655" s="147">
        <v>5</v>
      </c>
      <c r="M655" s="451">
        <f t="shared" ref="M655:M664" si="131">N655-K655</f>
        <v>1</v>
      </c>
      <c r="N655" s="418">
        <v>6</v>
      </c>
    </row>
    <row r="656" spans="1:17" outlineLevel="5" x14ac:dyDescent="0.4">
      <c r="A656" s="142" t="s">
        <v>40</v>
      </c>
      <c r="B656" s="143" t="s">
        <v>535</v>
      </c>
      <c r="C656" s="143" t="s">
        <v>448</v>
      </c>
      <c r="D656" s="143" t="s">
        <v>551</v>
      </c>
      <c r="E656" s="143" t="s">
        <v>480</v>
      </c>
      <c r="F656" s="143" t="s">
        <v>1328</v>
      </c>
      <c r="G656" s="143" t="s">
        <v>448</v>
      </c>
      <c r="H656" s="145" t="s">
        <v>1331</v>
      </c>
      <c r="I656" s="146">
        <v>0</v>
      </c>
      <c r="J656" s="146">
        <v>20</v>
      </c>
      <c r="K656" s="147">
        <v>24</v>
      </c>
      <c r="L656" s="147">
        <v>24</v>
      </c>
      <c r="M656" s="451">
        <f t="shared" si="131"/>
        <v>3</v>
      </c>
      <c r="N656" s="418">
        <v>27</v>
      </c>
    </row>
    <row r="657" spans="1:17" outlineLevel="5" x14ac:dyDescent="0.4">
      <c r="A657" s="142" t="s">
        <v>40</v>
      </c>
      <c r="B657" s="143" t="s">
        <v>535</v>
      </c>
      <c r="C657" s="143" t="s">
        <v>448</v>
      </c>
      <c r="D657" s="143" t="s">
        <v>551</v>
      </c>
      <c r="E657" s="143" t="s">
        <v>534</v>
      </c>
      <c r="F657" s="143" t="s">
        <v>1328</v>
      </c>
      <c r="G657" s="143" t="s">
        <v>448</v>
      </c>
      <c r="H657" s="145" t="s">
        <v>1332</v>
      </c>
      <c r="I657" s="146">
        <v>0</v>
      </c>
      <c r="J657" s="146">
        <v>276</v>
      </c>
      <c r="K657" s="147">
        <v>323</v>
      </c>
      <c r="L657" s="147">
        <v>323</v>
      </c>
      <c r="M657" s="451">
        <f t="shared" si="131"/>
        <v>45</v>
      </c>
      <c r="N657" s="418">
        <v>368</v>
      </c>
      <c r="Q657" s="509"/>
    </row>
    <row r="658" spans="1:17" outlineLevel="5" x14ac:dyDescent="0.4">
      <c r="A658" s="142" t="s">
        <v>40</v>
      </c>
      <c r="B658" s="143" t="s">
        <v>535</v>
      </c>
      <c r="C658" s="143" t="s">
        <v>448</v>
      </c>
      <c r="D658" s="143" t="s">
        <v>551</v>
      </c>
      <c r="E658" s="143" t="s">
        <v>566</v>
      </c>
      <c r="F658" s="143" t="s">
        <v>448</v>
      </c>
      <c r="G658" s="143" t="s">
        <v>448</v>
      </c>
      <c r="H658" s="145" t="s">
        <v>552</v>
      </c>
      <c r="I658" s="146">
        <v>10869</v>
      </c>
      <c r="J658" s="146">
        <v>976</v>
      </c>
      <c r="K658" s="147">
        <v>2338</v>
      </c>
      <c r="L658" s="147">
        <v>15000</v>
      </c>
      <c r="M658" s="451">
        <f t="shared" si="131"/>
        <v>1662</v>
      </c>
      <c r="N658" s="418">
        <v>4000</v>
      </c>
    </row>
    <row r="659" spans="1:17" outlineLevel="6" x14ac:dyDescent="0.4">
      <c r="A659" s="70">
        <v>10</v>
      </c>
      <c r="B659" s="3">
        <v>600</v>
      </c>
      <c r="C659" s="3">
        <v>0</v>
      </c>
      <c r="D659" s="3">
        <v>2311</v>
      </c>
      <c r="E659" s="3">
        <v>331</v>
      </c>
      <c r="F659" s="3">
        <v>0</v>
      </c>
      <c r="G659" s="3">
        <v>0</v>
      </c>
      <c r="H659" s="31" t="s">
        <v>335</v>
      </c>
      <c r="I659" s="32">
        <v>13618</v>
      </c>
      <c r="J659" s="32">
        <v>8899</v>
      </c>
      <c r="K659" s="147">
        <v>12000</v>
      </c>
      <c r="L659" s="40">
        <v>11188</v>
      </c>
      <c r="M659" s="451">
        <f t="shared" si="131"/>
        <v>-812</v>
      </c>
      <c r="N659" s="418">
        <v>11188</v>
      </c>
    </row>
    <row r="660" spans="1:17" outlineLevel="6" x14ac:dyDescent="0.4">
      <c r="A660" s="70">
        <v>10</v>
      </c>
      <c r="B660" s="3">
        <v>600</v>
      </c>
      <c r="C660" s="3">
        <v>0</v>
      </c>
      <c r="D660" s="3">
        <v>2311</v>
      </c>
      <c r="E660" s="3" t="s">
        <v>524</v>
      </c>
      <c r="F660" s="3">
        <v>0</v>
      </c>
      <c r="G660" s="3">
        <v>0</v>
      </c>
      <c r="H660" s="31" t="s">
        <v>2357</v>
      </c>
      <c r="I660" s="32">
        <v>0</v>
      </c>
      <c r="J660" s="32">
        <v>0</v>
      </c>
      <c r="K660" s="147">
        <v>0</v>
      </c>
      <c r="L660" s="40">
        <v>0</v>
      </c>
      <c r="M660" s="451">
        <f t="shared" ref="M660" si="132">N660-K660</f>
        <v>6000</v>
      </c>
      <c r="N660" s="418">
        <v>6000</v>
      </c>
    </row>
    <row r="661" spans="1:17" outlineLevel="6" x14ac:dyDescent="0.4">
      <c r="A661" s="70">
        <v>10</v>
      </c>
      <c r="B661" s="3">
        <v>600</v>
      </c>
      <c r="C661" s="3">
        <v>0</v>
      </c>
      <c r="D661" s="3">
        <v>2311</v>
      </c>
      <c r="E661" s="3">
        <v>540</v>
      </c>
      <c r="F661" s="3">
        <v>0</v>
      </c>
      <c r="G661" s="3">
        <v>0</v>
      </c>
      <c r="H661" s="31" t="s">
        <v>2358</v>
      </c>
      <c r="I661" s="32">
        <v>330</v>
      </c>
      <c r="J661" s="32">
        <v>192</v>
      </c>
      <c r="K661" s="40">
        <v>1000</v>
      </c>
      <c r="L661" s="40">
        <v>1000</v>
      </c>
      <c r="M661" s="451">
        <f t="shared" si="131"/>
        <v>0</v>
      </c>
      <c r="N661" s="417">
        <v>1000</v>
      </c>
    </row>
    <row r="662" spans="1:17" outlineLevel="6" x14ac:dyDescent="0.4">
      <c r="A662" s="70">
        <v>10</v>
      </c>
      <c r="B662" s="3">
        <v>600</v>
      </c>
      <c r="C662" s="3">
        <v>0</v>
      </c>
      <c r="D662" s="3">
        <v>2311</v>
      </c>
      <c r="E662" s="3">
        <v>580</v>
      </c>
      <c r="F662" s="3">
        <v>0</v>
      </c>
      <c r="G662" s="3">
        <v>0</v>
      </c>
      <c r="H662" s="31" t="s">
        <v>2359</v>
      </c>
      <c r="I662" s="32">
        <v>4721</v>
      </c>
      <c r="J662" s="32">
        <v>3958</v>
      </c>
      <c r="K662" s="40">
        <v>16000</v>
      </c>
      <c r="L662" s="40">
        <v>5000</v>
      </c>
      <c r="M662" s="451">
        <f t="shared" si="131"/>
        <v>0</v>
      </c>
      <c r="N662" s="417">
        <v>16000</v>
      </c>
    </row>
    <row r="663" spans="1:17" outlineLevel="6" x14ac:dyDescent="0.4">
      <c r="A663" s="70">
        <v>10</v>
      </c>
      <c r="B663" s="3">
        <v>600</v>
      </c>
      <c r="C663" s="3">
        <v>0</v>
      </c>
      <c r="D663" s="3">
        <v>2311</v>
      </c>
      <c r="E663" s="3">
        <v>600</v>
      </c>
      <c r="F663" s="3">
        <v>0</v>
      </c>
      <c r="G663" s="3">
        <v>0</v>
      </c>
      <c r="H663" s="31" t="s">
        <v>2360</v>
      </c>
      <c r="I663" s="32">
        <v>1202</v>
      </c>
      <c r="J663" s="32">
        <v>782</v>
      </c>
      <c r="K663" s="40">
        <v>3360</v>
      </c>
      <c r="L663" s="40">
        <v>2360</v>
      </c>
      <c r="M663" s="451">
        <f t="shared" si="131"/>
        <v>-1000</v>
      </c>
      <c r="N663" s="417">
        <v>2360</v>
      </c>
    </row>
    <row r="664" spans="1:17" ht="27" outlineLevel="6" thickBot="1" x14ac:dyDescent="0.45">
      <c r="A664" s="70">
        <v>10</v>
      </c>
      <c r="B664" s="3">
        <v>600</v>
      </c>
      <c r="C664" s="3">
        <v>0</v>
      </c>
      <c r="D664" s="3">
        <v>2311</v>
      </c>
      <c r="E664" s="3">
        <v>810</v>
      </c>
      <c r="F664" s="3">
        <v>0</v>
      </c>
      <c r="G664" s="3">
        <v>0</v>
      </c>
      <c r="H664" s="31" t="s">
        <v>2361</v>
      </c>
      <c r="I664" s="32">
        <v>5001</v>
      </c>
      <c r="J664" s="32">
        <v>5505</v>
      </c>
      <c r="K664" s="40">
        <v>6000</v>
      </c>
      <c r="L664" s="40">
        <v>6000</v>
      </c>
      <c r="M664" s="451">
        <f t="shared" si="131"/>
        <v>-6000</v>
      </c>
      <c r="N664" s="417">
        <v>0</v>
      </c>
    </row>
    <row r="665" spans="1:17" ht="27" outlineLevel="5" thickBot="1" x14ac:dyDescent="0.45">
      <c r="A665" s="76"/>
      <c r="B665" s="9"/>
      <c r="C665" s="9"/>
      <c r="D665" s="9" t="s">
        <v>336</v>
      </c>
      <c r="E665" s="9"/>
      <c r="F665" s="9"/>
      <c r="G665" s="9"/>
      <c r="H665" s="44"/>
      <c r="I665" s="42">
        <f>SUBTOTAL(9,I658:I664)</f>
        <v>35741</v>
      </c>
      <c r="J665" s="42">
        <f>SUBTOTAL(9,J654:J664)</f>
        <v>22212</v>
      </c>
      <c r="K665" s="43">
        <f>SUBTOTAL(9,K654:K664)</f>
        <v>42650</v>
      </c>
      <c r="L665" s="43">
        <f>SUBTOTAL(9,L654:L664)</f>
        <v>42500</v>
      </c>
      <c r="M665" s="453">
        <f t="shared" ref="M665:M670" si="133">N665-K665</f>
        <v>99</v>
      </c>
      <c r="N665" s="237">
        <f>SUBTOTAL(9,N654:N664)</f>
        <v>42749</v>
      </c>
    </row>
    <row r="666" spans="1:17" ht="27" outlineLevel="6" thickBot="1" x14ac:dyDescent="0.45">
      <c r="A666" s="70">
        <v>10</v>
      </c>
      <c r="B666" s="3">
        <v>600</v>
      </c>
      <c r="C666" s="3">
        <v>0</v>
      </c>
      <c r="D666" s="3">
        <v>2317</v>
      </c>
      <c r="E666" s="3">
        <v>332</v>
      </c>
      <c r="F666" s="3">
        <v>0</v>
      </c>
      <c r="G666" s="3">
        <v>0</v>
      </c>
      <c r="H666" s="31" t="s">
        <v>337</v>
      </c>
      <c r="I666" s="32">
        <v>10500</v>
      </c>
      <c r="J666" s="32">
        <v>10650</v>
      </c>
      <c r="K666" s="40">
        <v>10500</v>
      </c>
      <c r="L666" s="394">
        <v>10650</v>
      </c>
      <c r="M666" s="451">
        <f t="shared" si="133"/>
        <v>450</v>
      </c>
      <c r="N666" s="417">
        <v>10950</v>
      </c>
    </row>
    <row r="667" spans="1:17" ht="27" outlineLevel="5" thickBot="1" x14ac:dyDescent="0.45">
      <c r="A667" s="76"/>
      <c r="B667" s="9"/>
      <c r="C667" s="9"/>
      <c r="D667" s="9" t="s">
        <v>338</v>
      </c>
      <c r="E667" s="9"/>
      <c r="F667" s="9"/>
      <c r="G667" s="9"/>
      <c r="H667" s="44"/>
      <c r="I667" s="42">
        <f>SUBTOTAL(9,I666:I666)</f>
        <v>10500</v>
      </c>
      <c r="J667" s="42">
        <f>SUBTOTAL(9,J666:J666)</f>
        <v>10650</v>
      </c>
      <c r="K667" s="43">
        <f>SUBTOTAL(9,K666:K666)</f>
        <v>10500</v>
      </c>
      <c r="L667" s="43">
        <f>SUBTOTAL(9,L666:L666)</f>
        <v>10650</v>
      </c>
      <c r="M667" s="453">
        <f t="shared" si="133"/>
        <v>450</v>
      </c>
      <c r="N667" s="237">
        <f>SUBTOTAL(9,N666:N666)</f>
        <v>10950</v>
      </c>
    </row>
    <row r="668" spans="1:17" ht="27" outlineLevel="6" thickBot="1" x14ac:dyDescent="0.45">
      <c r="A668" s="70">
        <v>10</v>
      </c>
      <c r="B668" s="3">
        <v>600</v>
      </c>
      <c r="C668" s="3">
        <v>0</v>
      </c>
      <c r="D668" s="3">
        <v>2319</v>
      </c>
      <c r="E668" s="3">
        <v>591</v>
      </c>
      <c r="F668" s="3">
        <v>0</v>
      </c>
      <c r="G668" s="3">
        <v>0</v>
      </c>
      <c r="H668" s="31" t="s">
        <v>1135</v>
      </c>
      <c r="I668" s="32">
        <v>8177</v>
      </c>
      <c r="J668" s="32">
        <v>8994</v>
      </c>
      <c r="K668" s="40">
        <v>8994</v>
      </c>
      <c r="L668" s="394">
        <v>10600</v>
      </c>
      <c r="M668" s="451">
        <f t="shared" si="133"/>
        <v>1606</v>
      </c>
      <c r="N668" s="417">
        <v>10600</v>
      </c>
    </row>
    <row r="669" spans="1:17" ht="27" outlineLevel="5" thickBot="1" x14ac:dyDescent="0.45">
      <c r="A669" s="76"/>
      <c r="B669" s="9"/>
      <c r="C669" s="9"/>
      <c r="D669" s="9" t="s">
        <v>339</v>
      </c>
      <c r="E669" s="9"/>
      <c r="F669" s="9"/>
      <c r="G669" s="9"/>
      <c r="H669" s="44"/>
      <c r="I669" s="42">
        <f>SUBTOTAL(9,I668:I668)</f>
        <v>8177</v>
      </c>
      <c r="J669" s="42">
        <f>SUBTOTAL(9,J668:J668)</f>
        <v>8994</v>
      </c>
      <c r="K669" s="43">
        <f>SUBTOTAL(9,K668:K668)</f>
        <v>8994</v>
      </c>
      <c r="L669" s="43">
        <f>SUBTOTAL(9,L668:L668)</f>
        <v>10600</v>
      </c>
      <c r="M669" s="453">
        <f t="shared" si="133"/>
        <v>1606</v>
      </c>
      <c r="N669" s="237">
        <f>SUBTOTAL(9,N668:N668)</f>
        <v>10600</v>
      </c>
    </row>
    <row r="670" spans="1:17" outlineLevel="6" x14ac:dyDescent="0.4">
      <c r="A670" s="70">
        <v>10</v>
      </c>
      <c r="B670" s="3">
        <v>600</v>
      </c>
      <c r="C670" s="3">
        <v>0</v>
      </c>
      <c r="D670" s="3">
        <v>2320</v>
      </c>
      <c r="E670" s="3">
        <v>110</v>
      </c>
      <c r="F670" s="3">
        <v>101</v>
      </c>
      <c r="G670" s="3">
        <v>0</v>
      </c>
      <c r="H670" s="31" t="s">
        <v>340</v>
      </c>
      <c r="I670" s="32">
        <v>84184</v>
      </c>
      <c r="J670" s="32">
        <v>87188</v>
      </c>
      <c r="K670" s="147">
        <f>78924+200</f>
        <v>79124</v>
      </c>
      <c r="L670" s="40">
        <v>79866</v>
      </c>
      <c r="M670" s="451">
        <f t="shared" si="133"/>
        <v>1190</v>
      </c>
      <c r="N670" s="418">
        <v>80314</v>
      </c>
      <c r="O670" s="29" t="s">
        <v>1486</v>
      </c>
      <c r="Q670" s="509"/>
    </row>
    <row r="671" spans="1:17" outlineLevel="6" x14ac:dyDescent="0.4">
      <c r="A671" s="70">
        <v>10</v>
      </c>
      <c r="B671" s="3">
        <v>600</v>
      </c>
      <c r="C671" s="3">
        <v>0</v>
      </c>
      <c r="D671" s="3">
        <v>2320</v>
      </c>
      <c r="E671" s="3">
        <v>120</v>
      </c>
      <c r="F671" s="3">
        <v>101</v>
      </c>
      <c r="G671" s="3">
        <v>0</v>
      </c>
      <c r="H671" s="31" t="s">
        <v>341</v>
      </c>
      <c r="I671" s="32">
        <v>0</v>
      </c>
      <c r="J671" s="32">
        <v>0</v>
      </c>
      <c r="K671" s="147">
        <v>0</v>
      </c>
      <c r="L671" s="40">
        <v>0</v>
      </c>
      <c r="M671" s="451">
        <f t="shared" ref="M671:M692" si="134">N671-K671</f>
        <v>3000</v>
      </c>
      <c r="N671" s="418">
        <v>3000</v>
      </c>
    </row>
    <row r="672" spans="1:17" outlineLevel="6" x14ac:dyDescent="0.4">
      <c r="A672" s="70">
        <v>10</v>
      </c>
      <c r="B672" s="3">
        <v>600</v>
      </c>
      <c r="C672" s="3">
        <v>0</v>
      </c>
      <c r="D672" s="3">
        <v>2320</v>
      </c>
      <c r="E672" s="3">
        <v>210</v>
      </c>
      <c r="F672" s="3">
        <v>101</v>
      </c>
      <c r="G672" s="3">
        <v>0</v>
      </c>
      <c r="H672" s="31" t="s">
        <v>342</v>
      </c>
      <c r="I672" s="32">
        <v>66</v>
      </c>
      <c r="J672" s="32">
        <v>65</v>
      </c>
      <c r="K672" s="40">
        <v>66</v>
      </c>
      <c r="L672" s="40">
        <v>66</v>
      </c>
      <c r="M672" s="451">
        <f t="shared" si="134"/>
        <v>0</v>
      </c>
      <c r="N672" s="417">
        <v>66</v>
      </c>
    </row>
    <row r="673" spans="1:17" outlineLevel="6" x14ac:dyDescent="0.4">
      <c r="A673" s="70">
        <v>10</v>
      </c>
      <c r="B673" s="3">
        <v>600</v>
      </c>
      <c r="C673" s="3">
        <v>0</v>
      </c>
      <c r="D673" s="3">
        <v>2320</v>
      </c>
      <c r="E673" s="3">
        <v>215</v>
      </c>
      <c r="F673" s="3">
        <v>101</v>
      </c>
      <c r="G673" s="3">
        <v>0</v>
      </c>
      <c r="H673" s="31" t="s">
        <v>67</v>
      </c>
      <c r="I673" s="32">
        <v>232</v>
      </c>
      <c r="J673" s="32">
        <v>254</v>
      </c>
      <c r="K673" s="40">
        <f>263+1</f>
        <v>264</v>
      </c>
      <c r="L673" s="40">
        <v>264</v>
      </c>
      <c r="M673" s="451">
        <f t="shared" si="134"/>
        <v>0</v>
      </c>
      <c r="N673" s="417">
        <f>263+1</f>
        <v>264</v>
      </c>
    </row>
    <row r="674" spans="1:17" outlineLevel="6" x14ac:dyDescent="0.4">
      <c r="A674" s="70">
        <v>10</v>
      </c>
      <c r="B674" s="3">
        <v>600</v>
      </c>
      <c r="C674" s="3">
        <v>0</v>
      </c>
      <c r="D674" s="3">
        <v>2320</v>
      </c>
      <c r="E674" s="3">
        <v>221</v>
      </c>
      <c r="F674" s="3">
        <v>101</v>
      </c>
      <c r="G674" s="3">
        <v>0</v>
      </c>
      <c r="H674" s="31" t="s">
        <v>343</v>
      </c>
      <c r="I674" s="32">
        <v>1122</v>
      </c>
      <c r="J674" s="32">
        <v>1228</v>
      </c>
      <c r="K674" s="40">
        <f>1269+3</f>
        <v>1272</v>
      </c>
      <c r="L674" s="40">
        <v>1272</v>
      </c>
      <c r="M674" s="451">
        <f t="shared" si="134"/>
        <v>0</v>
      </c>
      <c r="N674" s="417">
        <f>1269+3</f>
        <v>1272</v>
      </c>
    </row>
    <row r="675" spans="1:17" outlineLevel="6" x14ac:dyDescent="0.4">
      <c r="A675" s="70">
        <v>10</v>
      </c>
      <c r="B675" s="3">
        <v>600</v>
      </c>
      <c r="C675" s="3">
        <v>0</v>
      </c>
      <c r="D675" s="3">
        <v>2320</v>
      </c>
      <c r="E675" s="3">
        <v>230</v>
      </c>
      <c r="F675" s="3">
        <v>101</v>
      </c>
      <c r="G675" s="3">
        <v>0</v>
      </c>
      <c r="H675" s="31" t="s">
        <v>344</v>
      </c>
      <c r="I675" s="32">
        <v>14924</v>
      </c>
      <c r="J675" s="32">
        <v>17033</v>
      </c>
      <c r="K675" s="40">
        <v>17632</v>
      </c>
      <c r="L675" s="40">
        <v>17891</v>
      </c>
      <c r="M675" s="451">
        <f t="shared" si="134"/>
        <v>259</v>
      </c>
      <c r="N675" s="417">
        <v>17891</v>
      </c>
    </row>
    <row r="676" spans="1:17" outlineLevel="6" x14ac:dyDescent="0.4">
      <c r="A676" s="70">
        <v>10</v>
      </c>
      <c r="B676" s="3">
        <v>600</v>
      </c>
      <c r="C676" s="3">
        <v>0</v>
      </c>
      <c r="D676" s="3">
        <v>2320</v>
      </c>
      <c r="E676" s="3">
        <v>250</v>
      </c>
      <c r="F676" s="3">
        <v>101</v>
      </c>
      <c r="G676" s="3">
        <v>0</v>
      </c>
      <c r="H676" s="31" t="s">
        <v>345</v>
      </c>
      <c r="I676" s="32">
        <v>10465</v>
      </c>
      <c r="J676" s="32">
        <v>5420</v>
      </c>
      <c r="K676" s="40">
        <v>5879</v>
      </c>
      <c r="L676" s="40">
        <v>6132</v>
      </c>
      <c r="M676" s="451">
        <f t="shared" si="134"/>
        <v>290</v>
      </c>
      <c r="N676" s="417">
        <v>6169</v>
      </c>
    </row>
    <row r="677" spans="1:17" outlineLevel="6" x14ac:dyDescent="0.4">
      <c r="A677" s="70">
        <v>10</v>
      </c>
      <c r="B677" s="3">
        <v>600</v>
      </c>
      <c r="C677" s="3">
        <v>0</v>
      </c>
      <c r="D677" s="3">
        <v>2320</v>
      </c>
      <c r="E677" s="3" t="s">
        <v>2287</v>
      </c>
      <c r="F677" s="3">
        <v>101</v>
      </c>
      <c r="G677" s="3" t="s">
        <v>2285</v>
      </c>
      <c r="H677" s="31" t="s">
        <v>2434</v>
      </c>
      <c r="I677" s="32">
        <v>0</v>
      </c>
      <c r="J677" s="32">
        <v>2318</v>
      </c>
      <c r="K677" s="40">
        <v>0</v>
      </c>
      <c r="L677" s="40">
        <v>0</v>
      </c>
      <c r="M677" s="451">
        <f t="shared" ref="M677" si="135">N677-K677</f>
        <v>2409</v>
      </c>
      <c r="N677" s="417">
        <v>2409</v>
      </c>
      <c r="Q677" s="509"/>
    </row>
    <row r="678" spans="1:17" outlineLevel="6" x14ac:dyDescent="0.4">
      <c r="A678" s="70">
        <v>10</v>
      </c>
      <c r="B678" s="3">
        <v>600</v>
      </c>
      <c r="C678" s="3">
        <v>0</v>
      </c>
      <c r="D678" s="3">
        <v>2320</v>
      </c>
      <c r="E678" s="3">
        <v>334</v>
      </c>
      <c r="F678" s="3">
        <v>0</v>
      </c>
      <c r="G678" s="3">
        <v>0</v>
      </c>
      <c r="H678" s="31" t="s">
        <v>346</v>
      </c>
      <c r="I678" s="32">
        <v>2229</v>
      </c>
      <c r="J678" s="32">
        <v>4261</v>
      </c>
      <c r="K678" s="40">
        <v>5000</v>
      </c>
      <c r="L678" s="40">
        <v>10000</v>
      </c>
      <c r="M678" s="451">
        <f t="shared" si="134"/>
        <v>400</v>
      </c>
      <c r="N678" s="417">
        <v>5400</v>
      </c>
    </row>
    <row r="679" spans="1:17" outlineLevel="6" x14ac:dyDescent="0.4">
      <c r="A679" s="70">
        <v>10</v>
      </c>
      <c r="B679" s="3">
        <v>600</v>
      </c>
      <c r="C679" s="3">
        <v>0</v>
      </c>
      <c r="D679" s="3">
        <v>2320</v>
      </c>
      <c r="E679" s="3">
        <v>334</v>
      </c>
      <c r="F679" s="3">
        <v>0</v>
      </c>
      <c r="G679" s="3" t="s">
        <v>1323</v>
      </c>
      <c r="H679" s="31" t="s">
        <v>1333</v>
      </c>
      <c r="I679" s="32">
        <v>0</v>
      </c>
      <c r="J679" s="32">
        <v>5000</v>
      </c>
      <c r="K679" s="147">
        <v>5000</v>
      </c>
      <c r="L679" s="40">
        <v>0</v>
      </c>
      <c r="M679" s="451">
        <f t="shared" si="134"/>
        <v>-400</v>
      </c>
      <c r="N679" s="418">
        <v>4600</v>
      </c>
    </row>
    <row r="680" spans="1:17" outlineLevel="6" x14ac:dyDescent="0.4">
      <c r="A680" s="70">
        <v>10</v>
      </c>
      <c r="B680" s="3">
        <v>600</v>
      </c>
      <c r="C680" s="3">
        <v>0</v>
      </c>
      <c r="D680" s="3">
        <v>2320</v>
      </c>
      <c r="E680" s="3" t="s">
        <v>524</v>
      </c>
      <c r="F680" s="3">
        <v>0</v>
      </c>
      <c r="G680" s="3">
        <v>0</v>
      </c>
      <c r="H680" s="31" t="s">
        <v>2362</v>
      </c>
      <c r="I680" s="32">
        <v>0</v>
      </c>
      <c r="J680" s="32">
        <v>0</v>
      </c>
      <c r="K680" s="147">
        <v>0</v>
      </c>
      <c r="L680" s="40">
        <v>0</v>
      </c>
      <c r="M680" s="451">
        <f t="shared" ref="M680" si="136">N680-K680</f>
        <v>1500</v>
      </c>
      <c r="N680" s="418">
        <v>1500</v>
      </c>
    </row>
    <row r="681" spans="1:17" outlineLevel="6" x14ac:dyDescent="0.4">
      <c r="A681" s="70">
        <v>10</v>
      </c>
      <c r="B681" s="3">
        <v>600</v>
      </c>
      <c r="C681" s="3">
        <v>0</v>
      </c>
      <c r="D681" s="3">
        <v>2320</v>
      </c>
      <c r="E681" s="3">
        <v>531</v>
      </c>
      <c r="F681" s="3">
        <v>0</v>
      </c>
      <c r="G681" s="3">
        <v>0</v>
      </c>
      <c r="H681" s="31" t="s">
        <v>347</v>
      </c>
      <c r="I681" s="32">
        <v>12035</v>
      </c>
      <c r="J681" s="32">
        <v>9322</v>
      </c>
      <c r="K681" s="147">
        <v>12000</v>
      </c>
      <c r="L681" s="40">
        <v>12000</v>
      </c>
      <c r="M681" s="451">
        <f t="shared" si="134"/>
        <v>0</v>
      </c>
      <c r="N681" s="418">
        <v>12000</v>
      </c>
    </row>
    <row r="682" spans="1:17" outlineLevel="6" x14ac:dyDescent="0.4">
      <c r="A682" s="70">
        <v>10</v>
      </c>
      <c r="B682" s="3">
        <v>600</v>
      </c>
      <c r="C682" s="3">
        <v>0</v>
      </c>
      <c r="D682" s="3">
        <v>2320</v>
      </c>
      <c r="E682" s="3">
        <v>540</v>
      </c>
      <c r="F682" s="3">
        <v>0</v>
      </c>
      <c r="G682" s="3">
        <v>0</v>
      </c>
      <c r="H682" s="31" t="s">
        <v>348</v>
      </c>
      <c r="I682" s="32">
        <v>446</v>
      </c>
      <c r="J682" s="32">
        <v>501</v>
      </c>
      <c r="K682" s="40">
        <v>1000</v>
      </c>
      <c r="L682" s="40">
        <v>1000</v>
      </c>
      <c r="M682" s="451">
        <f t="shared" si="134"/>
        <v>0</v>
      </c>
      <c r="N682" s="417">
        <v>1000</v>
      </c>
    </row>
    <row r="683" spans="1:17" outlineLevel="6" x14ac:dyDescent="0.4">
      <c r="A683" s="70">
        <v>10</v>
      </c>
      <c r="B683" s="3">
        <v>600</v>
      </c>
      <c r="C683" s="3">
        <v>0</v>
      </c>
      <c r="D683" s="3">
        <v>2320</v>
      </c>
      <c r="E683" s="3">
        <v>580</v>
      </c>
      <c r="F683" s="3">
        <v>0</v>
      </c>
      <c r="G683" s="3">
        <v>0</v>
      </c>
      <c r="H683" s="31" t="s">
        <v>349</v>
      </c>
      <c r="I683" s="32">
        <v>2719</v>
      </c>
      <c r="J683" s="32">
        <v>173</v>
      </c>
      <c r="K683" s="40">
        <v>3000</v>
      </c>
      <c r="L683" s="40">
        <v>3000</v>
      </c>
      <c r="M683" s="451">
        <f t="shared" si="134"/>
        <v>0</v>
      </c>
      <c r="N683" s="417">
        <v>3000</v>
      </c>
    </row>
    <row r="684" spans="1:17" outlineLevel="6" x14ac:dyDescent="0.4">
      <c r="A684" s="70" t="s">
        <v>40</v>
      </c>
      <c r="B684" s="3" t="s">
        <v>535</v>
      </c>
      <c r="C684" s="3" t="s">
        <v>448</v>
      </c>
      <c r="D684" s="3" t="s">
        <v>1359</v>
      </c>
      <c r="E684" s="3" t="s">
        <v>524</v>
      </c>
      <c r="F684" s="3" t="s">
        <v>448</v>
      </c>
      <c r="G684" s="3" t="s">
        <v>1360</v>
      </c>
      <c r="H684" s="31" t="s">
        <v>1361</v>
      </c>
      <c r="I684" s="32">
        <v>0</v>
      </c>
      <c r="J684" s="32">
        <v>438</v>
      </c>
      <c r="K684" s="40">
        <v>438</v>
      </c>
      <c r="L684" s="40">
        <v>0</v>
      </c>
      <c r="M684" s="451">
        <f t="shared" si="134"/>
        <v>-438</v>
      </c>
      <c r="N684" s="417">
        <v>0</v>
      </c>
    </row>
    <row r="685" spans="1:17" outlineLevel="6" x14ac:dyDescent="0.4">
      <c r="A685" s="70">
        <v>10</v>
      </c>
      <c r="B685" s="3">
        <v>600</v>
      </c>
      <c r="C685" s="3">
        <v>0</v>
      </c>
      <c r="D685" s="3">
        <v>2320</v>
      </c>
      <c r="E685" s="3">
        <v>600</v>
      </c>
      <c r="F685" s="3">
        <v>0</v>
      </c>
      <c r="G685" s="3">
        <v>0</v>
      </c>
      <c r="H685" s="31" t="s">
        <v>350</v>
      </c>
      <c r="I685" s="32">
        <v>1056</v>
      </c>
      <c r="J685" s="32">
        <v>128</v>
      </c>
      <c r="K685" s="40">
        <v>1000</v>
      </c>
      <c r="L685" s="40">
        <v>1200</v>
      </c>
      <c r="M685" s="451">
        <f t="shared" si="134"/>
        <v>200</v>
      </c>
      <c r="N685" s="417">
        <v>1200</v>
      </c>
    </row>
    <row r="686" spans="1:17" outlineLevel="6" x14ac:dyDescent="0.4">
      <c r="A686" s="70">
        <v>10</v>
      </c>
      <c r="B686" s="3">
        <v>600</v>
      </c>
      <c r="C686" s="3">
        <v>0</v>
      </c>
      <c r="D686" s="3">
        <v>2320</v>
      </c>
      <c r="E686" s="3">
        <v>600</v>
      </c>
      <c r="F686" s="3">
        <v>0</v>
      </c>
      <c r="G686" s="3" t="s">
        <v>1323</v>
      </c>
      <c r="H686" s="31" t="s">
        <v>1380</v>
      </c>
      <c r="I686" s="32">
        <v>0</v>
      </c>
      <c r="J686" s="32">
        <v>1000</v>
      </c>
      <c r="K686" s="40">
        <v>1000</v>
      </c>
      <c r="L686" s="40">
        <v>0</v>
      </c>
      <c r="M686" s="451">
        <f t="shared" si="134"/>
        <v>-1000</v>
      </c>
      <c r="N686" s="417">
        <v>0</v>
      </c>
    </row>
    <row r="687" spans="1:17" outlineLevel="6" x14ac:dyDescent="0.4">
      <c r="A687" s="70">
        <v>10</v>
      </c>
      <c r="B687" s="3">
        <v>600</v>
      </c>
      <c r="C687" s="3">
        <v>0</v>
      </c>
      <c r="D687" s="3">
        <v>2320</v>
      </c>
      <c r="E687" s="3">
        <v>735</v>
      </c>
      <c r="F687" s="3">
        <v>0</v>
      </c>
      <c r="G687" s="3">
        <v>0</v>
      </c>
      <c r="H687" s="31" t="s">
        <v>351</v>
      </c>
      <c r="I687" s="32">
        <v>122</v>
      </c>
      <c r="J687" s="32">
        <v>1000</v>
      </c>
      <c r="K687" s="40">
        <v>1000</v>
      </c>
      <c r="L687" s="40">
        <v>1000</v>
      </c>
      <c r="M687" s="451">
        <f t="shared" si="134"/>
        <v>0</v>
      </c>
      <c r="N687" s="417">
        <v>1000</v>
      </c>
    </row>
    <row r="688" spans="1:17" outlineLevel="6" x14ac:dyDescent="0.4">
      <c r="A688" s="70">
        <v>10</v>
      </c>
      <c r="B688" s="3">
        <v>600</v>
      </c>
      <c r="C688" s="3">
        <v>0</v>
      </c>
      <c r="D688" s="3">
        <v>2320</v>
      </c>
      <c r="E688" s="3">
        <v>810</v>
      </c>
      <c r="F688" s="3">
        <v>0</v>
      </c>
      <c r="G688" s="3">
        <v>0</v>
      </c>
      <c r="H688" s="31" t="s">
        <v>352</v>
      </c>
      <c r="I688" s="32">
        <v>817</v>
      </c>
      <c r="J688" s="32">
        <v>625</v>
      </c>
      <c r="K688" s="40">
        <v>2000</v>
      </c>
      <c r="L688" s="40">
        <v>2000</v>
      </c>
      <c r="M688" s="451">
        <f t="shared" si="134"/>
        <v>-1500</v>
      </c>
      <c r="N688" s="417">
        <v>500</v>
      </c>
    </row>
    <row r="689" spans="1:17" outlineLevel="6" x14ac:dyDescent="0.4">
      <c r="A689" s="70">
        <v>10</v>
      </c>
      <c r="B689" s="3">
        <v>600</v>
      </c>
      <c r="C689" s="3">
        <v>0</v>
      </c>
      <c r="D689" s="3">
        <v>2320</v>
      </c>
      <c r="E689" s="3">
        <v>810</v>
      </c>
      <c r="F689" s="3">
        <v>0</v>
      </c>
      <c r="G689" s="3" t="s">
        <v>1360</v>
      </c>
      <c r="H689" s="31" t="s">
        <v>1371</v>
      </c>
      <c r="I689" s="32">
        <v>0</v>
      </c>
      <c r="J689" s="32">
        <v>300</v>
      </c>
      <c r="K689" s="40">
        <v>300</v>
      </c>
      <c r="L689" s="40">
        <v>0</v>
      </c>
      <c r="M689" s="451">
        <f t="shared" si="134"/>
        <v>-300</v>
      </c>
      <c r="N689" s="417">
        <v>0</v>
      </c>
    </row>
    <row r="690" spans="1:17" outlineLevel="6" x14ac:dyDescent="0.4">
      <c r="A690" s="70">
        <v>10</v>
      </c>
      <c r="B690" s="3">
        <v>600</v>
      </c>
      <c r="C690" s="3">
        <v>0</v>
      </c>
      <c r="D690" s="3">
        <v>2320</v>
      </c>
      <c r="E690" s="3" t="s">
        <v>1102</v>
      </c>
      <c r="F690" s="3">
        <v>0</v>
      </c>
      <c r="G690" s="3" t="s">
        <v>606</v>
      </c>
      <c r="H690" s="31" t="s">
        <v>1103</v>
      </c>
      <c r="I690" s="32">
        <v>4007</v>
      </c>
      <c r="J690" s="32">
        <v>4446</v>
      </c>
      <c r="K690" s="40">
        <v>5233</v>
      </c>
      <c r="L690" s="40">
        <v>5270</v>
      </c>
      <c r="M690" s="451">
        <f t="shared" si="134"/>
        <v>-1078</v>
      </c>
      <c r="N690" s="417">
        <v>4155</v>
      </c>
    </row>
    <row r="691" spans="1:17" outlineLevel="6" x14ac:dyDescent="0.4">
      <c r="A691" s="70">
        <v>10</v>
      </c>
      <c r="B691" s="3">
        <v>600</v>
      </c>
      <c r="C691" s="3">
        <v>0</v>
      </c>
      <c r="D691" s="3">
        <v>2320</v>
      </c>
      <c r="E691" s="3" t="s">
        <v>1102</v>
      </c>
      <c r="F691" s="3">
        <v>0</v>
      </c>
      <c r="G691" s="3" t="s">
        <v>456</v>
      </c>
      <c r="H691" s="31" t="s">
        <v>1104</v>
      </c>
      <c r="I691" s="32">
        <v>1066</v>
      </c>
      <c r="J691" s="32">
        <v>937</v>
      </c>
      <c r="K691" s="40">
        <v>1603</v>
      </c>
      <c r="L691" s="40">
        <v>1414</v>
      </c>
      <c r="M691" s="451">
        <f t="shared" si="134"/>
        <v>333</v>
      </c>
      <c r="N691" s="417">
        <v>1936</v>
      </c>
    </row>
    <row r="692" spans="1:17" ht="27" outlineLevel="6" thickBot="1" x14ac:dyDescent="0.45">
      <c r="A692" s="70">
        <v>10</v>
      </c>
      <c r="B692" s="3">
        <v>600</v>
      </c>
      <c r="C692" s="3">
        <v>0</v>
      </c>
      <c r="D692" s="3">
        <v>2320</v>
      </c>
      <c r="E692" s="3" t="s">
        <v>1102</v>
      </c>
      <c r="F692" s="3">
        <v>0</v>
      </c>
      <c r="G692" s="3" t="s">
        <v>621</v>
      </c>
      <c r="H692" s="31" t="s">
        <v>1105</v>
      </c>
      <c r="I692" s="32">
        <v>160</v>
      </c>
      <c r="J692" s="32">
        <v>1545</v>
      </c>
      <c r="K692" s="40">
        <v>1740</v>
      </c>
      <c r="L692" s="40">
        <v>950</v>
      </c>
      <c r="M692" s="451">
        <f t="shared" si="134"/>
        <v>-645</v>
      </c>
      <c r="N692" s="417">
        <v>1095</v>
      </c>
    </row>
    <row r="693" spans="1:17" ht="27" outlineLevel="5" thickBot="1" x14ac:dyDescent="0.45">
      <c r="A693" s="76"/>
      <c r="B693" s="9"/>
      <c r="C693" s="9"/>
      <c r="D693" s="9" t="s">
        <v>353</v>
      </c>
      <c r="E693" s="9"/>
      <c r="F693" s="9"/>
      <c r="G693" s="9"/>
      <c r="H693" s="44"/>
      <c r="I693" s="42">
        <f>SUBTOTAL(9,I670:I692)</f>
        <v>135650</v>
      </c>
      <c r="J693" s="42">
        <f>SUBTOTAL(9,J670:J692)</f>
        <v>143182</v>
      </c>
      <c r="K693" s="43">
        <f>SUBTOTAL(9,K670:K692)</f>
        <v>144551</v>
      </c>
      <c r="L693" s="43">
        <f>SUBTOTAL(9,L670:L692)</f>
        <v>143325</v>
      </c>
      <c r="M693" s="453">
        <f>N693-K693</f>
        <v>4220</v>
      </c>
      <c r="N693" s="237">
        <f>SUBTOTAL(9,N670:N692)</f>
        <v>148771</v>
      </c>
    </row>
    <row r="694" spans="1:17" outlineLevel="6" x14ac:dyDescent="0.4">
      <c r="A694" s="70">
        <v>10</v>
      </c>
      <c r="B694" s="3">
        <v>600</v>
      </c>
      <c r="C694" s="3">
        <v>0</v>
      </c>
      <c r="D694" s="3" t="s">
        <v>1153</v>
      </c>
      <c r="E694" s="3">
        <v>110</v>
      </c>
      <c r="F694" s="3" t="s">
        <v>494</v>
      </c>
      <c r="G694" s="3" t="s">
        <v>1106</v>
      </c>
      <c r="H694" s="31" t="s">
        <v>1154</v>
      </c>
      <c r="I694" s="32">
        <v>0</v>
      </c>
      <c r="J694" s="32">
        <v>19184</v>
      </c>
      <c r="K694" s="40">
        <f>18593+100</f>
        <v>18693</v>
      </c>
      <c r="L694" s="40">
        <v>4648</v>
      </c>
      <c r="M694" s="451">
        <f>N694-K694</f>
        <v>-11621</v>
      </c>
      <c r="N694" s="417">
        <v>7072</v>
      </c>
      <c r="O694" s="29" t="s">
        <v>2365</v>
      </c>
    </row>
    <row r="695" spans="1:17" outlineLevel="6" x14ac:dyDescent="0.4">
      <c r="A695" s="70">
        <v>10</v>
      </c>
      <c r="B695" s="3">
        <v>600</v>
      </c>
      <c r="C695" s="3">
        <v>0</v>
      </c>
      <c r="D695" s="3" t="s">
        <v>1153</v>
      </c>
      <c r="E695" s="3">
        <v>110</v>
      </c>
      <c r="F695" s="3" t="s">
        <v>494</v>
      </c>
      <c r="G695" s="3" t="s">
        <v>1542</v>
      </c>
      <c r="H695" s="31" t="s">
        <v>1551</v>
      </c>
      <c r="I695" s="32">
        <v>0</v>
      </c>
      <c r="J695" s="32">
        <v>0</v>
      </c>
      <c r="K695" s="40">
        <v>0</v>
      </c>
      <c r="L695" s="40">
        <v>20912</v>
      </c>
      <c r="M695" s="451">
        <f t="shared" ref="M695:M719" si="137">N695-K695</f>
        <v>18738</v>
      </c>
      <c r="N695" s="417">
        <v>18738</v>
      </c>
      <c r="O695" s="29" t="s">
        <v>2366</v>
      </c>
    </row>
    <row r="696" spans="1:17" outlineLevel="6" x14ac:dyDescent="0.4">
      <c r="A696" s="70">
        <v>10</v>
      </c>
      <c r="B696" s="3">
        <v>600</v>
      </c>
      <c r="C696" s="3">
        <v>0</v>
      </c>
      <c r="D696" s="3" t="s">
        <v>1153</v>
      </c>
      <c r="E696" s="3" t="s">
        <v>1275</v>
      </c>
      <c r="F696" s="3" t="s">
        <v>494</v>
      </c>
      <c r="G696" s="3" t="s">
        <v>1542</v>
      </c>
      <c r="H696" s="31" t="s">
        <v>2379</v>
      </c>
      <c r="I696" s="32">
        <v>0</v>
      </c>
      <c r="J696" s="32">
        <v>0</v>
      </c>
      <c r="K696" s="40">
        <v>0</v>
      </c>
      <c r="L696" s="40">
        <v>0</v>
      </c>
      <c r="M696" s="451">
        <f t="shared" ref="M696" si="138">N696-K696</f>
        <v>164</v>
      </c>
      <c r="N696" s="417">
        <v>164</v>
      </c>
    </row>
    <row r="697" spans="1:17" outlineLevel="6" x14ac:dyDescent="0.4">
      <c r="A697" s="70" t="s">
        <v>40</v>
      </c>
      <c r="B697" s="3" t="s">
        <v>535</v>
      </c>
      <c r="C697" s="3" t="s">
        <v>448</v>
      </c>
      <c r="D697" s="3" t="s">
        <v>1153</v>
      </c>
      <c r="E697" s="3" t="s">
        <v>526</v>
      </c>
      <c r="F697" s="3" t="s">
        <v>1174</v>
      </c>
      <c r="G697" s="3" t="s">
        <v>1106</v>
      </c>
      <c r="H697" s="31" t="s">
        <v>1175</v>
      </c>
      <c r="I697" s="32">
        <v>0</v>
      </c>
      <c r="J697" s="32">
        <v>3150</v>
      </c>
      <c r="K697" s="40">
        <v>3750</v>
      </c>
      <c r="L697" s="40">
        <v>0</v>
      </c>
      <c r="M697" s="451">
        <f t="shared" si="137"/>
        <v>-3750</v>
      </c>
      <c r="N697" s="417">
        <v>0</v>
      </c>
    </row>
    <row r="698" spans="1:17" outlineLevel="6" x14ac:dyDescent="0.4">
      <c r="A698" s="70" t="s">
        <v>40</v>
      </c>
      <c r="B698" s="3" t="s">
        <v>535</v>
      </c>
      <c r="C698" s="3" t="s">
        <v>448</v>
      </c>
      <c r="D698" s="3" t="s">
        <v>1153</v>
      </c>
      <c r="E698" s="3" t="s">
        <v>526</v>
      </c>
      <c r="F698" s="3" t="s">
        <v>1174</v>
      </c>
      <c r="G698" s="3" t="s">
        <v>1542</v>
      </c>
      <c r="H698" s="31" t="s">
        <v>2373</v>
      </c>
      <c r="I698" s="32">
        <v>0</v>
      </c>
      <c r="J698" s="32">
        <v>0</v>
      </c>
      <c r="K698" s="40">
        <v>0</v>
      </c>
      <c r="L698" s="40">
        <v>0</v>
      </c>
      <c r="M698" s="451">
        <f t="shared" ref="M698" si="139">N698-K698</f>
        <v>3750</v>
      </c>
      <c r="N698" s="417">
        <v>3750</v>
      </c>
      <c r="Q698" s="509"/>
    </row>
    <row r="699" spans="1:17" outlineLevel="6" x14ac:dyDescent="0.4">
      <c r="A699" s="70">
        <v>10</v>
      </c>
      <c r="B699" s="3">
        <v>600</v>
      </c>
      <c r="C699" s="3">
        <v>0</v>
      </c>
      <c r="D699" s="3" t="s">
        <v>1153</v>
      </c>
      <c r="E699" s="3">
        <v>210</v>
      </c>
      <c r="F699" s="3" t="s">
        <v>494</v>
      </c>
      <c r="G699" s="3" t="s">
        <v>1106</v>
      </c>
      <c r="H699" s="31" t="s">
        <v>1155</v>
      </c>
      <c r="I699" s="32">
        <v>0</v>
      </c>
      <c r="J699" s="32">
        <v>32</v>
      </c>
      <c r="K699" s="40">
        <v>33</v>
      </c>
      <c r="L699" s="40">
        <v>16</v>
      </c>
      <c r="M699" s="451">
        <f t="shared" si="137"/>
        <v>-20</v>
      </c>
      <c r="N699" s="417">
        <v>13</v>
      </c>
    </row>
    <row r="700" spans="1:17" outlineLevel="6" x14ac:dyDescent="0.4">
      <c r="A700" s="70">
        <v>10</v>
      </c>
      <c r="B700" s="3">
        <v>600</v>
      </c>
      <c r="C700" s="3">
        <v>0</v>
      </c>
      <c r="D700" s="3" t="s">
        <v>1153</v>
      </c>
      <c r="E700" s="3">
        <v>210</v>
      </c>
      <c r="F700" s="3" t="s">
        <v>494</v>
      </c>
      <c r="G700" s="3" t="s">
        <v>1542</v>
      </c>
      <c r="H700" s="31" t="s">
        <v>1553</v>
      </c>
      <c r="I700" s="32">
        <v>0</v>
      </c>
      <c r="J700" s="32">
        <v>0</v>
      </c>
      <c r="K700" s="40">
        <v>0</v>
      </c>
      <c r="L700" s="40">
        <v>37</v>
      </c>
      <c r="M700" s="451">
        <f t="shared" si="137"/>
        <v>33</v>
      </c>
      <c r="N700" s="417">
        <v>33</v>
      </c>
    </row>
    <row r="701" spans="1:17" outlineLevel="6" x14ac:dyDescent="0.4">
      <c r="A701" s="70">
        <v>10</v>
      </c>
      <c r="B701" s="3">
        <v>600</v>
      </c>
      <c r="C701" s="3">
        <v>0</v>
      </c>
      <c r="D701" s="3" t="s">
        <v>1153</v>
      </c>
      <c r="E701" s="3">
        <v>215</v>
      </c>
      <c r="F701" s="3" t="s">
        <v>494</v>
      </c>
      <c r="G701" s="3" t="s">
        <v>1106</v>
      </c>
      <c r="H701" s="31" t="s">
        <v>1158</v>
      </c>
      <c r="I701" s="32">
        <v>0</v>
      </c>
      <c r="J701" s="32">
        <v>49</v>
      </c>
      <c r="K701" s="40">
        <v>56</v>
      </c>
      <c r="L701" s="40">
        <v>14</v>
      </c>
      <c r="M701" s="451">
        <f t="shared" si="137"/>
        <v>-37</v>
      </c>
      <c r="N701" s="417">
        <v>19</v>
      </c>
    </row>
    <row r="702" spans="1:17" outlineLevel="6" x14ac:dyDescent="0.4">
      <c r="A702" s="70">
        <v>10</v>
      </c>
      <c r="B702" s="3">
        <v>600</v>
      </c>
      <c r="C702" s="3">
        <v>0</v>
      </c>
      <c r="D702" s="3" t="s">
        <v>1153</v>
      </c>
      <c r="E702" s="3">
        <v>215</v>
      </c>
      <c r="F702" s="3" t="s">
        <v>494</v>
      </c>
      <c r="G702" s="3" t="s">
        <v>1542</v>
      </c>
      <c r="H702" s="31" t="s">
        <v>1554</v>
      </c>
      <c r="I702" s="32">
        <v>0</v>
      </c>
      <c r="J702" s="32">
        <v>0</v>
      </c>
      <c r="K702" s="40">
        <v>0</v>
      </c>
      <c r="L702" s="40">
        <v>63</v>
      </c>
      <c r="M702" s="451">
        <f t="shared" si="137"/>
        <v>54</v>
      </c>
      <c r="N702" s="417">
        <v>54</v>
      </c>
    </row>
    <row r="703" spans="1:17" outlineLevel="6" x14ac:dyDescent="0.4">
      <c r="A703" s="70">
        <v>10</v>
      </c>
      <c r="B703" s="3">
        <v>600</v>
      </c>
      <c r="C703" s="3">
        <v>0</v>
      </c>
      <c r="D703" s="3" t="s">
        <v>1153</v>
      </c>
      <c r="E703" s="3">
        <v>215</v>
      </c>
      <c r="F703" s="3" t="s">
        <v>1174</v>
      </c>
      <c r="G703" s="3" t="s">
        <v>1106</v>
      </c>
      <c r="H703" s="31" t="s">
        <v>1296</v>
      </c>
      <c r="I703" s="32">
        <v>0</v>
      </c>
      <c r="J703" s="32">
        <v>10</v>
      </c>
      <c r="K703" s="40">
        <v>12</v>
      </c>
      <c r="L703" s="40">
        <v>0</v>
      </c>
      <c r="M703" s="451">
        <f t="shared" si="137"/>
        <v>-12</v>
      </c>
      <c r="N703" s="417">
        <v>0</v>
      </c>
    </row>
    <row r="704" spans="1:17" outlineLevel="6" x14ac:dyDescent="0.4">
      <c r="A704" s="70">
        <v>10</v>
      </c>
      <c r="B704" s="3">
        <v>600</v>
      </c>
      <c r="C704" s="3">
        <v>0</v>
      </c>
      <c r="D704" s="3" t="s">
        <v>1153</v>
      </c>
      <c r="E704" s="3">
        <v>215</v>
      </c>
      <c r="F704" s="3" t="s">
        <v>1174</v>
      </c>
      <c r="G704" s="3" t="s">
        <v>1542</v>
      </c>
      <c r="H704" s="31" t="s">
        <v>2374</v>
      </c>
      <c r="I704" s="32">
        <v>0</v>
      </c>
      <c r="J704" s="32">
        <v>0</v>
      </c>
      <c r="K704" s="40">
        <v>0</v>
      </c>
      <c r="L704" s="40">
        <v>0</v>
      </c>
      <c r="M704" s="451">
        <f t="shared" ref="M704" si="140">N704-K704</f>
        <v>15</v>
      </c>
      <c r="N704" s="417">
        <v>15</v>
      </c>
    </row>
    <row r="705" spans="1:17" outlineLevel="6" x14ac:dyDescent="0.4">
      <c r="A705" s="70">
        <v>10</v>
      </c>
      <c r="B705" s="3">
        <v>600</v>
      </c>
      <c r="C705" s="3">
        <v>0</v>
      </c>
      <c r="D705" s="3" t="s">
        <v>1153</v>
      </c>
      <c r="E705" s="3">
        <v>221</v>
      </c>
      <c r="F705" s="3" t="s">
        <v>494</v>
      </c>
      <c r="G705" s="3" t="s">
        <v>1106</v>
      </c>
      <c r="H705" s="31" t="s">
        <v>1156</v>
      </c>
      <c r="I705" s="32">
        <v>0</v>
      </c>
      <c r="J705" s="32">
        <v>239</v>
      </c>
      <c r="K705" s="40">
        <f>270+1</f>
        <v>271</v>
      </c>
      <c r="L705" s="40">
        <v>68</v>
      </c>
      <c r="M705" s="451">
        <f t="shared" si="137"/>
        <v>-187</v>
      </c>
      <c r="N705" s="417">
        <v>84</v>
      </c>
    </row>
    <row r="706" spans="1:17" outlineLevel="6" x14ac:dyDescent="0.4">
      <c r="A706" s="70">
        <v>10</v>
      </c>
      <c r="B706" s="3">
        <v>600</v>
      </c>
      <c r="C706" s="3">
        <v>0</v>
      </c>
      <c r="D706" s="3" t="s">
        <v>1153</v>
      </c>
      <c r="E706" s="3">
        <v>221</v>
      </c>
      <c r="F706" s="3" t="s">
        <v>494</v>
      </c>
      <c r="G706" s="3" t="s">
        <v>1542</v>
      </c>
      <c r="H706" s="31" t="s">
        <v>1555</v>
      </c>
      <c r="I706" s="32">
        <v>0</v>
      </c>
      <c r="J706" s="32">
        <v>0</v>
      </c>
      <c r="K706" s="40">
        <v>0</v>
      </c>
      <c r="L706" s="40">
        <v>304</v>
      </c>
      <c r="M706" s="451">
        <f t="shared" si="137"/>
        <v>263</v>
      </c>
      <c r="N706" s="417">
        <v>263</v>
      </c>
    </row>
    <row r="707" spans="1:17" outlineLevel="6" x14ac:dyDescent="0.4">
      <c r="A707" s="70">
        <v>10</v>
      </c>
      <c r="B707" s="3">
        <v>600</v>
      </c>
      <c r="C707" s="3">
        <v>0</v>
      </c>
      <c r="D707" s="3" t="s">
        <v>1153</v>
      </c>
      <c r="E707" s="3">
        <v>221</v>
      </c>
      <c r="F707" s="3" t="s">
        <v>1174</v>
      </c>
      <c r="G707" s="3" t="s">
        <v>1106</v>
      </c>
      <c r="H707" s="31" t="s">
        <v>1297</v>
      </c>
      <c r="I707" s="32">
        <v>0</v>
      </c>
      <c r="J707" s="32">
        <v>46</v>
      </c>
      <c r="K707" s="40">
        <v>55</v>
      </c>
      <c r="L707" s="40">
        <v>0</v>
      </c>
      <c r="M707" s="451">
        <f t="shared" si="137"/>
        <v>-55</v>
      </c>
      <c r="N707" s="417">
        <v>0</v>
      </c>
    </row>
    <row r="708" spans="1:17" outlineLevel="6" x14ac:dyDescent="0.4">
      <c r="A708" s="70">
        <v>10</v>
      </c>
      <c r="B708" s="3">
        <v>600</v>
      </c>
      <c r="C708" s="3">
        <v>0</v>
      </c>
      <c r="D708" s="3" t="s">
        <v>1153</v>
      </c>
      <c r="E708" s="3">
        <v>221</v>
      </c>
      <c r="F708" s="3" t="s">
        <v>1174</v>
      </c>
      <c r="G708" s="3" t="s">
        <v>1542</v>
      </c>
      <c r="H708" s="31" t="s">
        <v>2375</v>
      </c>
      <c r="I708" s="32">
        <v>0</v>
      </c>
      <c r="J708" s="32">
        <v>0</v>
      </c>
      <c r="K708" s="40">
        <v>0</v>
      </c>
      <c r="L708" s="40">
        <v>0</v>
      </c>
      <c r="M708" s="451">
        <f t="shared" ref="M708" si="141">N708-K708</f>
        <v>45</v>
      </c>
      <c r="N708" s="417">
        <v>45</v>
      </c>
    </row>
    <row r="709" spans="1:17" outlineLevel="6" x14ac:dyDescent="0.4">
      <c r="A709" s="70">
        <v>10</v>
      </c>
      <c r="B709" s="3">
        <v>600</v>
      </c>
      <c r="C709" s="3">
        <v>0</v>
      </c>
      <c r="D709" s="3" t="s">
        <v>1153</v>
      </c>
      <c r="E709" s="3">
        <v>230</v>
      </c>
      <c r="F709" s="3" t="s">
        <v>494</v>
      </c>
      <c r="G709" s="3" t="s">
        <v>1106</v>
      </c>
      <c r="H709" s="31" t="s">
        <v>1157</v>
      </c>
      <c r="I709" s="32">
        <v>0</v>
      </c>
      <c r="J709" s="32">
        <v>3298</v>
      </c>
      <c r="K709" s="40">
        <v>3747</v>
      </c>
      <c r="L709" s="40">
        <v>949</v>
      </c>
      <c r="M709" s="451">
        <f t="shared" si="137"/>
        <v>-2547</v>
      </c>
      <c r="N709" s="417">
        <v>1200</v>
      </c>
    </row>
    <row r="710" spans="1:17" outlineLevel="6" x14ac:dyDescent="0.4">
      <c r="A710" s="70">
        <v>10</v>
      </c>
      <c r="B710" s="3">
        <v>600</v>
      </c>
      <c r="C710" s="3">
        <v>0</v>
      </c>
      <c r="D710" s="3" t="s">
        <v>1153</v>
      </c>
      <c r="E710" s="3">
        <v>230</v>
      </c>
      <c r="F710" s="3" t="s">
        <v>494</v>
      </c>
      <c r="G710" s="3" t="s">
        <v>1542</v>
      </c>
      <c r="H710" s="31" t="s">
        <v>1556</v>
      </c>
      <c r="I710" s="32">
        <v>0</v>
      </c>
      <c r="J710" s="32">
        <v>0</v>
      </c>
      <c r="K710" s="40">
        <v>0</v>
      </c>
      <c r="L710" s="40">
        <v>4252</v>
      </c>
      <c r="M710" s="451">
        <f t="shared" si="137"/>
        <v>3653</v>
      </c>
      <c r="N710" s="417">
        <v>3653</v>
      </c>
    </row>
    <row r="711" spans="1:17" outlineLevel="6" x14ac:dyDescent="0.4">
      <c r="A711" s="70">
        <v>10</v>
      </c>
      <c r="B711" s="3">
        <v>600</v>
      </c>
      <c r="C711" s="3">
        <v>0</v>
      </c>
      <c r="D711" s="3" t="s">
        <v>1153</v>
      </c>
      <c r="E711" s="3">
        <v>230</v>
      </c>
      <c r="F711" s="3" t="s">
        <v>1174</v>
      </c>
      <c r="G711" s="3" t="s">
        <v>1106</v>
      </c>
      <c r="H711" s="31" t="s">
        <v>1298</v>
      </c>
      <c r="I711" s="32">
        <v>0</v>
      </c>
      <c r="J711" s="32">
        <v>555</v>
      </c>
      <c r="K711" s="40">
        <v>756</v>
      </c>
      <c r="L711" s="40">
        <v>0</v>
      </c>
      <c r="M711" s="451">
        <f t="shared" si="137"/>
        <v>-756</v>
      </c>
      <c r="N711" s="417">
        <v>0</v>
      </c>
    </row>
    <row r="712" spans="1:17" outlineLevel="6" x14ac:dyDescent="0.4">
      <c r="A712" s="70">
        <v>10</v>
      </c>
      <c r="B712" s="3">
        <v>600</v>
      </c>
      <c r="C712" s="3">
        <v>0</v>
      </c>
      <c r="D712" s="3" t="s">
        <v>1153</v>
      </c>
      <c r="E712" s="3">
        <v>230</v>
      </c>
      <c r="F712" s="3" t="s">
        <v>1174</v>
      </c>
      <c r="G712" s="3" t="s">
        <v>1542</v>
      </c>
      <c r="H712" s="31" t="s">
        <v>2376</v>
      </c>
      <c r="I712" s="32">
        <v>0</v>
      </c>
      <c r="J712" s="32">
        <v>0</v>
      </c>
      <c r="K712" s="40">
        <v>0</v>
      </c>
      <c r="L712" s="40">
        <v>0</v>
      </c>
      <c r="M712" s="451">
        <f t="shared" ref="M712" si="142">N712-K712</f>
        <v>690</v>
      </c>
      <c r="N712" s="417">
        <v>690</v>
      </c>
    </row>
    <row r="713" spans="1:17" outlineLevel="6" x14ac:dyDescent="0.4">
      <c r="A713" s="70">
        <v>10</v>
      </c>
      <c r="B713" s="3">
        <v>600</v>
      </c>
      <c r="C713" s="3">
        <v>0</v>
      </c>
      <c r="D713" s="3" t="s">
        <v>1153</v>
      </c>
      <c r="E713" s="3">
        <v>250</v>
      </c>
      <c r="F713" s="3" t="s">
        <v>494</v>
      </c>
      <c r="G713" s="3" t="s">
        <v>1106</v>
      </c>
      <c r="H713" s="31" t="s">
        <v>1159</v>
      </c>
      <c r="I713" s="32">
        <v>0</v>
      </c>
      <c r="J713" s="32">
        <v>2894</v>
      </c>
      <c r="K713" s="40">
        <v>2940</v>
      </c>
      <c r="L713" s="40">
        <v>767</v>
      </c>
      <c r="M713" s="451">
        <f t="shared" si="137"/>
        <v>-1727</v>
      </c>
      <c r="N713" s="417">
        <v>1213</v>
      </c>
    </row>
    <row r="714" spans="1:17" outlineLevel="6" x14ac:dyDescent="0.4">
      <c r="A714" s="70">
        <v>10</v>
      </c>
      <c r="B714" s="3">
        <v>600</v>
      </c>
      <c r="C714" s="3">
        <v>0</v>
      </c>
      <c r="D714" s="3" t="s">
        <v>1153</v>
      </c>
      <c r="E714" s="3">
        <v>250</v>
      </c>
      <c r="F714" s="3" t="s">
        <v>494</v>
      </c>
      <c r="G714" s="3" t="s">
        <v>1542</v>
      </c>
      <c r="H714" s="31" t="s">
        <v>1557</v>
      </c>
      <c r="I714" s="32">
        <v>0</v>
      </c>
      <c r="J714" s="32">
        <v>0</v>
      </c>
      <c r="K714" s="40">
        <v>0</v>
      </c>
      <c r="L714" s="40">
        <v>3450</v>
      </c>
      <c r="M714" s="451">
        <f t="shared" si="137"/>
        <v>3085</v>
      </c>
      <c r="N714" s="417">
        <v>3085</v>
      </c>
    </row>
    <row r="715" spans="1:17" outlineLevel="6" x14ac:dyDescent="0.4">
      <c r="A715" s="70">
        <v>10</v>
      </c>
      <c r="B715" s="3">
        <v>600</v>
      </c>
      <c r="C715" s="3">
        <v>0</v>
      </c>
      <c r="D715" s="3" t="s">
        <v>1153</v>
      </c>
      <c r="E715" s="3" t="s">
        <v>2287</v>
      </c>
      <c r="F715" s="3" t="s">
        <v>494</v>
      </c>
      <c r="G715" s="3" t="s">
        <v>2285</v>
      </c>
      <c r="H715" s="31" t="s">
        <v>2435</v>
      </c>
      <c r="I715" s="32">
        <v>0</v>
      </c>
      <c r="J715" s="32">
        <v>497</v>
      </c>
      <c r="K715" s="40">
        <v>0</v>
      </c>
      <c r="L715" s="40">
        <v>0</v>
      </c>
      <c r="M715" s="451">
        <f t="shared" ref="M715" si="143">N715-K715</f>
        <v>774</v>
      </c>
      <c r="N715" s="417">
        <v>774</v>
      </c>
      <c r="Q715" s="509"/>
    </row>
    <row r="716" spans="1:17" outlineLevel="6" x14ac:dyDescent="0.4">
      <c r="A716" s="70">
        <v>10</v>
      </c>
      <c r="B716" s="3">
        <v>600</v>
      </c>
      <c r="C716" s="3">
        <v>0</v>
      </c>
      <c r="D716" s="3" t="s">
        <v>1153</v>
      </c>
      <c r="E716" s="3">
        <v>334</v>
      </c>
      <c r="F716" s="3">
        <v>0</v>
      </c>
      <c r="G716" s="3" t="s">
        <v>1106</v>
      </c>
      <c r="H716" s="31" t="s">
        <v>1299</v>
      </c>
      <c r="I716" s="32">
        <v>0</v>
      </c>
      <c r="J716" s="32">
        <v>1800</v>
      </c>
      <c r="K716" s="40">
        <v>2700</v>
      </c>
      <c r="L716" s="40">
        <v>0</v>
      </c>
      <c r="M716" s="451">
        <f t="shared" si="137"/>
        <v>-2700</v>
      </c>
      <c r="N716" s="417">
        <v>0</v>
      </c>
    </row>
    <row r="717" spans="1:17" outlineLevel="6" x14ac:dyDescent="0.4">
      <c r="A717" s="70">
        <v>10</v>
      </c>
      <c r="B717" s="3">
        <v>600</v>
      </c>
      <c r="C717" s="3">
        <v>0</v>
      </c>
      <c r="D717" s="3" t="s">
        <v>1153</v>
      </c>
      <c r="E717" s="3">
        <v>580</v>
      </c>
      <c r="F717" s="3">
        <v>0</v>
      </c>
      <c r="G717" s="3" t="s">
        <v>1106</v>
      </c>
      <c r="H717" s="31" t="s">
        <v>1172</v>
      </c>
      <c r="I717" s="32">
        <v>0</v>
      </c>
      <c r="J717" s="32">
        <v>433</v>
      </c>
      <c r="K717" s="40">
        <v>1335</v>
      </c>
      <c r="L717" s="40">
        <v>0</v>
      </c>
      <c r="M717" s="451">
        <f t="shared" si="137"/>
        <v>2045</v>
      </c>
      <c r="N717" s="417">
        <v>3380</v>
      </c>
    </row>
    <row r="718" spans="1:17" outlineLevel="6" x14ac:dyDescent="0.4">
      <c r="A718" s="70">
        <v>10</v>
      </c>
      <c r="B718" s="3">
        <v>600</v>
      </c>
      <c r="C718" s="3">
        <v>0</v>
      </c>
      <c r="D718" s="3" t="s">
        <v>1153</v>
      </c>
      <c r="E718" s="3">
        <v>580</v>
      </c>
      <c r="F718" s="3">
        <v>0</v>
      </c>
      <c r="G718" s="3" t="s">
        <v>1542</v>
      </c>
      <c r="H718" s="31" t="s">
        <v>2378</v>
      </c>
      <c r="I718" s="32">
        <v>0</v>
      </c>
      <c r="J718" s="32">
        <v>0</v>
      </c>
      <c r="K718" s="40">
        <v>0</v>
      </c>
      <c r="L718" s="40">
        <v>0</v>
      </c>
      <c r="M718" s="451">
        <f t="shared" ref="M718" si="144">N718-K718</f>
        <v>1010</v>
      </c>
      <c r="N718" s="417">
        <v>1010</v>
      </c>
    </row>
    <row r="719" spans="1:17" outlineLevel="6" x14ac:dyDescent="0.4">
      <c r="A719" s="70">
        <v>10</v>
      </c>
      <c r="B719" s="3">
        <v>600</v>
      </c>
      <c r="C719" s="3">
        <v>0</v>
      </c>
      <c r="D719" s="3" t="s">
        <v>1153</v>
      </c>
      <c r="E719" s="3">
        <v>600</v>
      </c>
      <c r="F719" s="3">
        <v>0</v>
      </c>
      <c r="G719" s="3" t="s">
        <v>1106</v>
      </c>
      <c r="H719" s="31" t="s">
        <v>1173</v>
      </c>
      <c r="I719" s="32">
        <v>0</v>
      </c>
      <c r="J719" s="32">
        <v>3922</v>
      </c>
      <c r="K719" s="40">
        <v>7500</v>
      </c>
      <c r="L719" s="40">
        <v>0</v>
      </c>
      <c r="M719" s="451">
        <f t="shared" si="137"/>
        <v>2026</v>
      </c>
      <c r="N719" s="417">
        <v>9526</v>
      </c>
    </row>
    <row r="720" spans="1:17" outlineLevel="6" x14ac:dyDescent="0.4">
      <c r="A720" s="70">
        <v>10</v>
      </c>
      <c r="B720" s="3">
        <v>600</v>
      </c>
      <c r="C720" s="3">
        <v>0</v>
      </c>
      <c r="D720" s="3" t="s">
        <v>1153</v>
      </c>
      <c r="E720" s="3">
        <v>600</v>
      </c>
      <c r="F720" s="3">
        <v>0</v>
      </c>
      <c r="G720" s="3" t="s">
        <v>1542</v>
      </c>
      <c r="H720" s="31" t="s">
        <v>2377</v>
      </c>
      <c r="I720" s="32">
        <v>0</v>
      </c>
      <c r="J720" s="32">
        <v>0</v>
      </c>
      <c r="K720" s="40">
        <v>0</v>
      </c>
      <c r="L720" s="40">
        <v>0</v>
      </c>
      <c r="M720" s="451">
        <f t="shared" ref="M720" si="145">N720-K720</f>
        <v>1050</v>
      </c>
      <c r="N720" s="417">
        <v>1050</v>
      </c>
    </row>
    <row r="721" spans="1:17" ht="27" outlineLevel="6" thickBot="1" x14ac:dyDescent="0.45">
      <c r="A721" s="70">
        <v>10</v>
      </c>
      <c r="B721" s="3">
        <v>600</v>
      </c>
      <c r="C721" s="3">
        <v>0</v>
      </c>
      <c r="D721" s="3" t="s">
        <v>1153</v>
      </c>
      <c r="E721" s="3">
        <v>600</v>
      </c>
      <c r="F721" s="3">
        <v>0</v>
      </c>
      <c r="G721" s="3" t="s">
        <v>1266</v>
      </c>
      <c r="H721" s="31" t="s">
        <v>2333</v>
      </c>
      <c r="I721" s="32">
        <v>0</v>
      </c>
      <c r="J721" s="32">
        <v>0</v>
      </c>
      <c r="K721" s="40">
        <v>0</v>
      </c>
      <c r="L721" s="40">
        <v>0</v>
      </c>
      <c r="M721" s="451">
        <f t="shared" ref="M721" si="146">N721-K721</f>
        <v>5000</v>
      </c>
      <c r="N721" s="417">
        <v>5000</v>
      </c>
    </row>
    <row r="722" spans="1:17" ht="27" outlineLevel="5" thickBot="1" x14ac:dyDescent="0.45">
      <c r="A722" s="76"/>
      <c r="B722" s="9"/>
      <c r="C722" s="9"/>
      <c r="D722" s="9" t="s">
        <v>1152</v>
      </c>
      <c r="E722" s="9"/>
      <c r="F722" s="9"/>
      <c r="G722" s="9"/>
      <c r="H722" s="44"/>
      <c r="I722" s="42">
        <f>SUBTOTAL(9,I694:I719)</f>
        <v>0</v>
      </c>
      <c r="J722" s="42">
        <f>SUBTOTAL(9,J694:J721)</f>
        <v>36109</v>
      </c>
      <c r="K722" s="43">
        <f>SUBTOTAL(9,K694:K721)</f>
        <v>41848</v>
      </c>
      <c r="L722" s="43">
        <f>SUBTOTAL(9,L694:L721)</f>
        <v>35480</v>
      </c>
      <c r="M722" s="453">
        <f>N722-K722</f>
        <v>18983</v>
      </c>
      <c r="N722" s="237">
        <f>SUBTOTAL(9,N694:N721)</f>
        <v>60831</v>
      </c>
    </row>
    <row r="723" spans="1:17" outlineLevel="6" x14ac:dyDescent="0.4">
      <c r="A723" s="70">
        <v>10</v>
      </c>
      <c r="B723" s="3">
        <v>600</v>
      </c>
      <c r="C723" s="3">
        <v>0</v>
      </c>
      <c r="D723" s="3" t="s">
        <v>1164</v>
      </c>
      <c r="E723" s="3">
        <v>110</v>
      </c>
      <c r="F723" s="3" t="s">
        <v>494</v>
      </c>
      <c r="G723" s="3">
        <v>0</v>
      </c>
      <c r="H723" s="31" t="s">
        <v>1160</v>
      </c>
      <c r="I723" s="32">
        <v>0</v>
      </c>
      <c r="J723" s="32">
        <v>19466</v>
      </c>
      <c r="K723" s="40">
        <f>18200+100</f>
        <v>18300</v>
      </c>
      <c r="L723" s="40">
        <v>4485</v>
      </c>
      <c r="M723" s="451">
        <f>N723-K723</f>
        <v>-13815</v>
      </c>
      <c r="N723" s="417">
        <v>4485</v>
      </c>
      <c r="O723" s="29" t="s">
        <v>1550</v>
      </c>
      <c r="Q723" s="509"/>
    </row>
    <row r="724" spans="1:17" outlineLevel="6" x14ac:dyDescent="0.4">
      <c r="A724" s="70">
        <v>10</v>
      </c>
      <c r="B724" s="3">
        <v>600</v>
      </c>
      <c r="C724" s="3">
        <v>0</v>
      </c>
      <c r="D724" s="3" t="s">
        <v>1164</v>
      </c>
      <c r="E724" s="3">
        <v>210</v>
      </c>
      <c r="F724" s="3" t="s">
        <v>494</v>
      </c>
      <c r="G724" s="3">
        <v>0</v>
      </c>
      <c r="H724" s="31" t="s">
        <v>1161</v>
      </c>
      <c r="I724" s="32">
        <v>0</v>
      </c>
      <c r="J724" s="32">
        <v>33</v>
      </c>
      <c r="K724" s="40">
        <v>33</v>
      </c>
      <c r="L724" s="40">
        <v>8</v>
      </c>
      <c r="M724" s="451">
        <f t="shared" ref="M724:M728" si="147">N724-K724</f>
        <v>-25</v>
      </c>
      <c r="N724" s="417">
        <v>8</v>
      </c>
    </row>
    <row r="725" spans="1:17" outlineLevel="6" x14ac:dyDescent="0.4">
      <c r="A725" s="70">
        <v>10</v>
      </c>
      <c r="B725" s="3">
        <v>600</v>
      </c>
      <c r="C725" s="3">
        <v>0</v>
      </c>
      <c r="D725" s="3" t="s">
        <v>1164</v>
      </c>
      <c r="E725" s="3">
        <v>215</v>
      </c>
      <c r="F725" s="3" t="s">
        <v>494</v>
      </c>
      <c r="G725" s="3">
        <v>0</v>
      </c>
      <c r="H725" s="31" t="s">
        <v>1162</v>
      </c>
      <c r="I725" s="32">
        <v>0</v>
      </c>
      <c r="J725" s="32">
        <v>50</v>
      </c>
      <c r="K725" s="40">
        <v>55</v>
      </c>
      <c r="L725" s="40">
        <v>14</v>
      </c>
      <c r="M725" s="451">
        <f t="shared" si="147"/>
        <v>-41</v>
      </c>
      <c r="N725" s="417">
        <v>14</v>
      </c>
    </row>
    <row r="726" spans="1:17" outlineLevel="6" x14ac:dyDescent="0.4">
      <c r="A726" s="70">
        <v>10</v>
      </c>
      <c r="B726" s="3">
        <v>600</v>
      </c>
      <c r="C726" s="3">
        <v>0</v>
      </c>
      <c r="D726" s="3" t="s">
        <v>1164</v>
      </c>
      <c r="E726" s="3">
        <v>221</v>
      </c>
      <c r="F726" s="3" t="s">
        <v>494</v>
      </c>
      <c r="G726" s="3">
        <v>0</v>
      </c>
      <c r="H726" s="31" t="s">
        <v>1163</v>
      </c>
      <c r="I726" s="32">
        <v>0</v>
      </c>
      <c r="J726" s="32">
        <v>244</v>
      </c>
      <c r="K726" s="40">
        <f>264+1</f>
        <v>265</v>
      </c>
      <c r="L726" s="40">
        <v>65</v>
      </c>
      <c r="M726" s="451">
        <f t="shared" si="147"/>
        <v>-200</v>
      </c>
      <c r="N726" s="417">
        <v>65</v>
      </c>
    </row>
    <row r="727" spans="1:17" outlineLevel="6" x14ac:dyDescent="0.4">
      <c r="A727" s="70">
        <v>10</v>
      </c>
      <c r="B727" s="3">
        <v>600</v>
      </c>
      <c r="C727" s="3">
        <v>0</v>
      </c>
      <c r="D727" s="3" t="s">
        <v>1164</v>
      </c>
      <c r="E727" s="3">
        <v>230</v>
      </c>
      <c r="F727" s="3" t="s">
        <v>494</v>
      </c>
      <c r="G727" s="3">
        <v>0</v>
      </c>
      <c r="H727" s="31" t="s">
        <v>1334</v>
      </c>
      <c r="I727" s="32">
        <v>0</v>
      </c>
      <c r="J727" s="32">
        <v>3365</v>
      </c>
      <c r="K727" s="40">
        <v>3668</v>
      </c>
      <c r="L727" s="40">
        <v>915</v>
      </c>
      <c r="M727" s="451">
        <f t="shared" si="147"/>
        <v>-2753</v>
      </c>
      <c r="N727" s="417">
        <v>915</v>
      </c>
    </row>
    <row r="728" spans="1:17" outlineLevel="6" x14ac:dyDescent="0.4">
      <c r="A728" s="70">
        <v>10</v>
      </c>
      <c r="B728" s="3">
        <v>600</v>
      </c>
      <c r="C728" s="3">
        <v>0</v>
      </c>
      <c r="D728" s="3" t="s">
        <v>1164</v>
      </c>
      <c r="E728" s="3">
        <v>250</v>
      </c>
      <c r="F728" s="3" t="s">
        <v>494</v>
      </c>
      <c r="G728" s="3">
        <v>0</v>
      </c>
      <c r="H728" s="31" t="s">
        <v>1335</v>
      </c>
      <c r="I728" s="32">
        <v>0</v>
      </c>
      <c r="J728" s="32">
        <v>2938</v>
      </c>
      <c r="K728" s="40">
        <v>2940</v>
      </c>
      <c r="L728" s="40">
        <v>767</v>
      </c>
      <c r="M728" s="451">
        <f t="shared" si="147"/>
        <v>-2173</v>
      </c>
      <c r="N728" s="417">
        <v>767</v>
      </c>
    </row>
    <row r="729" spans="1:17" ht="27" outlineLevel="6" thickBot="1" x14ac:dyDescent="0.45">
      <c r="A729" s="70">
        <v>10</v>
      </c>
      <c r="B729" s="3">
        <v>600</v>
      </c>
      <c r="C729" s="3">
        <v>0</v>
      </c>
      <c r="D729" s="3" t="s">
        <v>1164</v>
      </c>
      <c r="E729" s="3" t="s">
        <v>2287</v>
      </c>
      <c r="F729" s="3" t="s">
        <v>494</v>
      </c>
      <c r="G729" s="3" t="s">
        <v>2285</v>
      </c>
      <c r="H729" s="31" t="s">
        <v>2436</v>
      </c>
      <c r="I729" s="32">
        <v>0</v>
      </c>
      <c r="J729" s="32">
        <v>567</v>
      </c>
      <c r="K729" s="40">
        <v>0</v>
      </c>
      <c r="L729" s="40">
        <v>0</v>
      </c>
      <c r="M729" s="451">
        <f t="shared" ref="M729" si="148">N729-K729</f>
        <v>135</v>
      </c>
      <c r="N729" s="417">
        <v>135</v>
      </c>
      <c r="Q729" s="509"/>
    </row>
    <row r="730" spans="1:17" ht="27" outlineLevel="5" thickBot="1" x14ac:dyDescent="0.45">
      <c r="A730" s="76"/>
      <c r="B730" s="9"/>
      <c r="C730" s="9"/>
      <c r="D730" s="9" t="s">
        <v>1164</v>
      </c>
      <c r="E730" s="9"/>
      <c r="F730" s="9"/>
      <c r="G730" s="9"/>
      <c r="H730" s="44"/>
      <c r="I730" s="42">
        <f>SUBTOTAL(9,I723:I729)</f>
        <v>0</v>
      </c>
      <c r="J730" s="42">
        <f>SUBTOTAL(9,J723:J729)</f>
        <v>26663</v>
      </c>
      <c r="K730" s="43">
        <f>SUBTOTAL(9,K723:K729)</f>
        <v>25261</v>
      </c>
      <c r="L730" s="43">
        <f>SUBTOTAL(9,L723:L729)</f>
        <v>6254</v>
      </c>
      <c r="M730" s="453">
        <f>N730-K730</f>
        <v>-18872</v>
      </c>
      <c r="N730" s="237">
        <f>SUBTOTAL(9,N723:N729)</f>
        <v>6389</v>
      </c>
    </row>
    <row r="731" spans="1:17" outlineLevel="6" x14ac:dyDescent="0.4">
      <c r="A731" s="70">
        <v>10</v>
      </c>
      <c r="B731" s="3">
        <v>600</v>
      </c>
      <c r="C731" s="3">
        <v>0</v>
      </c>
      <c r="D731" s="3">
        <v>2500</v>
      </c>
      <c r="E731" s="3">
        <v>110</v>
      </c>
      <c r="F731" s="3">
        <v>103</v>
      </c>
      <c r="G731" s="3">
        <v>0</v>
      </c>
      <c r="H731" s="31" t="s">
        <v>1208</v>
      </c>
      <c r="I731" s="32">
        <v>84856</v>
      </c>
      <c r="J731" s="32">
        <v>95241</v>
      </c>
      <c r="K731" s="40">
        <f>89760+400</f>
        <v>90160</v>
      </c>
      <c r="L731" s="40">
        <v>88928</v>
      </c>
      <c r="M731" s="451">
        <f>N731-K731</f>
        <v>-1232</v>
      </c>
      <c r="N731" s="417">
        <v>88928</v>
      </c>
      <c r="O731" s="29" t="s">
        <v>1480</v>
      </c>
    </row>
    <row r="732" spans="1:17" outlineLevel="6" x14ac:dyDescent="0.4">
      <c r="A732" s="70">
        <v>10</v>
      </c>
      <c r="B732" s="3">
        <v>600</v>
      </c>
      <c r="C732" s="3">
        <v>0</v>
      </c>
      <c r="D732" s="3">
        <v>2500</v>
      </c>
      <c r="E732" s="3" t="s">
        <v>526</v>
      </c>
      <c r="F732" s="3">
        <v>103</v>
      </c>
      <c r="G732" s="3" t="s">
        <v>1106</v>
      </c>
      <c r="H732" s="31" t="s">
        <v>1178</v>
      </c>
      <c r="I732" s="32">
        <v>820</v>
      </c>
      <c r="J732" s="32">
        <v>4920</v>
      </c>
      <c r="K732" s="40">
        <v>4920</v>
      </c>
      <c r="L732" s="40">
        <v>1230</v>
      </c>
      <c r="M732" s="451">
        <f t="shared" ref="M732:M754" si="149">N732-K732</f>
        <v>-3280</v>
      </c>
      <c r="N732" s="417">
        <v>1640</v>
      </c>
      <c r="O732" s="29" t="s">
        <v>2363</v>
      </c>
    </row>
    <row r="733" spans="1:17" outlineLevel="6" x14ac:dyDescent="0.4">
      <c r="A733" s="70">
        <v>10</v>
      </c>
      <c r="B733" s="3">
        <v>600</v>
      </c>
      <c r="C733" s="3">
        <v>0</v>
      </c>
      <c r="D733" s="3">
        <v>2500</v>
      </c>
      <c r="E733" s="3" t="s">
        <v>526</v>
      </c>
      <c r="F733" s="3">
        <v>103</v>
      </c>
      <c r="G733" s="3" t="s">
        <v>1542</v>
      </c>
      <c r="H733" s="31" t="s">
        <v>1546</v>
      </c>
      <c r="I733" s="32">
        <v>0</v>
      </c>
      <c r="J733" s="32">
        <v>0</v>
      </c>
      <c r="K733" s="40">
        <v>0</v>
      </c>
      <c r="L733" s="40">
        <v>2455</v>
      </c>
      <c r="M733" s="451">
        <f t="shared" si="149"/>
        <v>2228</v>
      </c>
      <c r="N733" s="417">
        <v>2228</v>
      </c>
      <c r="O733" s="29" t="s">
        <v>2364</v>
      </c>
    </row>
    <row r="734" spans="1:17" outlineLevel="6" x14ac:dyDescent="0.4">
      <c r="A734" s="70">
        <v>10</v>
      </c>
      <c r="B734" s="3">
        <v>600</v>
      </c>
      <c r="C734" s="3">
        <v>0</v>
      </c>
      <c r="D734" s="3">
        <v>2500</v>
      </c>
      <c r="E734" s="3">
        <v>210</v>
      </c>
      <c r="F734" s="3">
        <v>103</v>
      </c>
      <c r="G734" s="3">
        <v>0</v>
      </c>
      <c r="H734" s="31" t="s">
        <v>1212</v>
      </c>
      <c r="I734" s="32">
        <v>133</v>
      </c>
      <c r="J734" s="32">
        <v>87</v>
      </c>
      <c r="K734" s="40">
        <v>71</v>
      </c>
      <c r="L734" s="40">
        <v>132</v>
      </c>
      <c r="M734" s="451">
        <f t="shared" si="149"/>
        <v>61</v>
      </c>
      <c r="N734" s="417">
        <v>132</v>
      </c>
    </row>
    <row r="735" spans="1:17" outlineLevel="6" x14ac:dyDescent="0.4">
      <c r="A735" s="70">
        <v>10</v>
      </c>
      <c r="B735" s="3">
        <v>600</v>
      </c>
      <c r="C735" s="3">
        <v>0</v>
      </c>
      <c r="D735" s="3">
        <v>2500</v>
      </c>
      <c r="E735" s="3">
        <v>215</v>
      </c>
      <c r="F735" s="3">
        <v>103</v>
      </c>
      <c r="G735" s="3">
        <v>0</v>
      </c>
      <c r="H735" s="31" t="s">
        <v>67</v>
      </c>
      <c r="I735" s="32">
        <v>271</v>
      </c>
      <c r="J735" s="32">
        <v>291</v>
      </c>
      <c r="K735" s="40">
        <f>294+2</f>
        <v>296</v>
      </c>
      <c r="L735" s="40">
        <v>291</v>
      </c>
      <c r="M735" s="451">
        <f t="shared" si="149"/>
        <v>-5</v>
      </c>
      <c r="N735" s="417">
        <v>291</v>
      </c>
    </row>
    <row r="736" spans="1:17" outlineLevel="6" x14ac:dyDescent="0.4">
      <c r="A736" s="70" t="s">
        <v>40</v>
      </c>
      <c r="B736" s="3" t="s">
        <v>535</v>
      </c>
      <c r="C736" s="3" t="s">
        <v>448</v>
      </c>
      <c r="D736" s="3" t="s">
        <v>1168</v>
      </c>
      <c r="E736" s="3" t="s">
        <v>533</v>
      </c>
      <c r="F736" s="3" t="s">
        <v>1167</v>
      </c>
      <c r="G736" s="3" t="s">
        <v>1106</v>
      </c>
      <c r="H736" s="31" t="s">
        <v>1169</v>
      </c>
      <c r="I736" s="32">
        <v>2</v>
      </c>
      <c r="J736" s="32">
        <v>13</v>
      </c>
      <c r="K736" s="40">
        <v>15</v>
      </c>
      <c r="L736" s="40">
        <v>4</v>
      </c>
      <c r="M736" s="451">
        <f t="shared" si="149"/>
        <v>-11</v>
      </c>
      <c r="N736" s="417">
        <v>4</v>
      </c>
    </row>
    <row r="737" spans="1:14" outlineLevel="6" x14ac:dyDescent="0.4">
      <c r="A737" s="70" t="s">
        <v>40</v>
      </c>
      <c r="B737" s="3" t="s">
        <v>535</v>
      </c>
      <c r="C737" s="3" t="s">
        <v>448</v>
      </c>
      <c r="D737" s="3" t="s">
        <v>1168</v>
      </c>
      <c r="E737" s="3" t="s">
        <v>533</v>
      </c>
      <c r="F737" s="3" t="s">
        <v>1167</v>
      </c>
      <c r="G737" s="3" t="s">
        <v>1542</v>
      </c>
      <c r="H737" s="31" t="s">
        <v>1547</v>
      </c>
      <c r="I737" s="32">
        <v>0</v>
      </c>
      <c r="J737" s="32">
        <v>0</v>
      </c>
      <c r="K737" s="40">
        <v>0</v>
      </c>
      <c r="L737" s="40">
        <v>7</v>
      </c>
      <c r="M737" s="451">
        <f t="shared" si="149"/>
        <v>6</v>
      </c>
      <c r="N737" s="417">
        <v>6</v>
      </c>
    </row>
    <row r="738" spans="1:14" outlineLevel="6" x14ac:dyDescent="0.4">
      <c r="A738" s="70">
        <v>10</v>
      </c>
      <c r="B738" s="3">
        <v>600</v>
      </c>
      <c r="C738" s="3">
        <v>0</v>
      </c>
      <c r="D738" s="3">
        <v>2500</v>
      </c>
      <c r="E738" s="3">
        <v>221</v>
      </c>
      <c r="F738" s="3">
        <v>103</v>
      </c>
      <c r="G738" s="3">
        <v>0</v>
      </c>
      <c r="H738" s="31" t="s">
        <v>1209</v>
      </c>
      <c r="I738" s="32">
        <v>1308</v>
      </c>
      <c r="J738" s="32">
        <v>1405</v>
      </c>
      <c r="K738" s="40">
        <f>1418+6</f>
        <v>1424</v>
      </c>
      <c r="L738" s="40">
        <v>1406</v>
      </c>
      <c r="M738" s="451">
        <f t="shared" si="149"/>
        <v>-18</v>
      </c>
      <c r="N738" s="417">
        <v>1406</v>
      </c>
    </row>
    <row r="739" spans="1:14" outlineLevel="6" x14ac:dyDescent="0.4">
      <c r="A739" s="70" t="s">
        <v>40</v>
      </c>
      <c r="B739" s="3" t="s">
        <v>535</v>
      </c>
      <c r="C739" s="3" t="s">
        <v>448</v>
      </c>
      <c r="D739" s="3" t="s">
        <v>1168</v>
      </c>
      <c r="E739" s="3" t="s">
        <v>480</v>
      </c>
      <c r="F739" s="3" t="s">
        <v>1167</v>
      </c>
      <c r="G739" s="3" t="s">
        <v>1106</v>
      </c>
      <c r="H739" s="31" t="s">
        <v>1170</v>
      </c>
      <c r="I739" s="32">
        <v>11</v>
      </c>
      <c r="J739" s="32">
        <v>64</v>
      </c>
      <c r="K739" s="40">
        <v>72</v>
      </c>
      <c r="L739" s="40">
        <v>18</v>
      </c>
      <c r="M739" s="451">
        <f t="shared" si="149"/>
        <v>-51</v>
      </c>
      <c r="N739" s="417">
        <v>21</v>
      </c>
    </row>
    <row r="740" spans="1:14" outlineLevel="6" x14ac:dyDescent="0.4">
      <c r="A740" s="70" t="s">
        <v>40</v>
      </c>
      <c r="B740" s="3" t="s">
        <v>535</v>
      </c>
      <c r="C740" s="3" t="s">
        <v>448</v>
      </c>
      <c r="D740" s="3" t="s">
        <v>1168</v>
      </c>
      <c r="E740" s="3" t="s">
        <v>480</v>
      </c>
      <c r="F740" s="3" t="s">
        <v>1167</v>
      </c>
      <c r="G740" s="3" t="s">
        <v>1542</v>
      </c>
      <c r="H740" s="31" t="s">
        <v>1548</v>
      </c>
      <c r="I740" s="32">
        <v>0</v>
      </c>
      <c r="J740" s="32">
        <v>0</v>
      </c>
      <c r="K740" s="40">
        <v>0</v>
      </c>
      <c r="L740" s="40">
        <v>36</v>
      </c>
      <c r="M740" s="451">
        <f t="shared" si="149"/>
        <v>29</v>
      </c>
      <c r="N740" s="417">
        <v>29</v>
      </c>
    </row>
    <row r="741" spans="1:14" outlineLevel="6" x14ac:dyDescent="0.4">
      <c r="A741" s="70">
        <v>10</v>
      </c>
      <c r="B741" s="3">
        <v>600</v>
      </c>
      <c r="C741" s="3">
        <v>0</v>
      </c>
      <c r="D741" s="3">
        <v>2500</v>
      </c>
      <c r="E741" s="3">
        <v>230</v>
      </c>
      <c r="F741" s="3">
        <v>103</v>
      </c>
      <c r="G741" s="3">
        <v>0</v>
      </c>
      <c r="H741" s="31" t="s">
        <v>1210</v>
      </c>
      <c r="I741" s="32">
        <v>17752</v>
      </c>
      <c r="J741" s="32">
        <v>19442</v>
      </c>
      <c r="K741" s="40">
        <v>19699</v>
      </c>
      <c r="L741" s="40">
        <v>19774</v>
      </c>
      <c r="M741" s="451">
        <f t="shared" si="149"/>
        <v>75</v>
      </c>
      <c r="N741" s="417">
        <v>19774</v>
      </c>
    </row>
    <row r="742" spans="1:14" outlineLevel="6" x14ac:dyDescent="0.4">
      <c r="A742" s="70" t="s">
        <v>40</v>
      </c>
      <c r="B742" s="3" t="s">
        <v>535</v>
      </c>
      <c r="C742" s="3" t="s">
        <v>448</v>
      </c>
      <c r="D742" s="3" t="s">
        <v>1168</v>
      </c>
      <c r="E742" s="3" t="s">
        <v>534</v>
      </c>
      <c r="F742" s="3" t="s">
        <v>1167</v>
      </c>
      <c r="G742" s="3" t="s">
        <v>1106</v>
      </c>
      <c r="H742" s="31" t="s">
        <v>1171</v>
      </c>
      <c r="I742" s="32">
        <v>158</v>
      </c>
      <c r="J742" s="32">
        <v>888</v>
      </c>
      <c r="K742" s="40">
        <v>992</v>
      </c>
      <c r="L742" s="394">
        <v>251</v>
      </c>
      <c r="M742" s="451">
        <f t="shared" si="149"/>
        <v>-695</v>
      </c>
      <c r="N742" s="417">
        <v>297</v>
      </c>
    </row>
    <row r="743" spans="1:14" outlineLevel="6" x14ac:dyDescent="0.4">
      <c r="A743" s="70" t="s">
        <v>40</v>
      </c>
      <c r="B743" s="3" t="s">
        <v>535</v>
      </c>
      <c r="C743" s="3" t="s">
        <v>448</v>
      </c>
      <c r="D743" s="3" t="s">
        <v>1168</v>
      </c>
      <c r="E743" s="3" t="s">
        <v>534</v>
      </c>
      <c r="F743" s="3" t="s">
        <v>1167</v>
      </c>
      <c r="G743" s="3" t="s">
        <v>1542</v>
      </c>
      <c r="H743" s="31" t="s">
        <v>1549</v>
      </c>
      <c r="I743" s="32">
        <v>0</v>
      </c>
      <c r="J743" s="32">
        <v>0</v>
      </c>
      <c r="K743" s="40">
        <v>0</v>
      </c>
      <c r="L743" s="394">
        <v>501</v>
      </c>
      <c r="M743" s="451">
        <f t="shared" si="149"/>
        <v>403</v>
      </c>
      <c r="N743" s="417">
        <v>403</v>
      </c>
    </row>
    <row r="744" spans="1:14" outlineLevel="6" x14ac:dyDescent="0.4">
      <c r="A744" s="70">
        <v>10</v>
      </c>
      <c r="B744" s="3">
        <v>600</v>
      </c>
      <c r="C744" s="3">
        <v>0</v>
      </c>
      <c r="D744" s="3">
        <v>2500</v>
      </c>
      <c r="E744" s="3">
        <v>250</v>
      </c>
      <c r="F744" s="3">
        <v>103</v>
      </c>
      <c r="G744" s="3">
        <v>0</v>
      </c>
      <c r="H744" s="31" t="s">
        <v>1211</v>
      </c>
      <c r="I744" s="32">
        <v>11362</v>
      </c>
      <c r="J744" s="32">
        <v>7886</v>
      </c>
      <c r="K744" s="40">
        <v>6369</v>
      </c>
      <c r="L744" s="40">
        <v>12264</v>
      </c>
      <c r="M744" s="451">
        <f t="shared" si="149"/>
        <v>5895</v>
      </c>
      <c r="N744" s="417">
        <v>12264</v>
      </c>
    </row>
    <row r="745" spans="1:14" outlineLevel="6" x14ac:dyDescent="0.4">
      <c r="A745" s="70">
        <v>10</v>
      </c>
      <c r="B745" s="3">
        <v>600</v>
      </c>
      <c r="C745" s="3">
        <v>0</v>
      </c>
      <c r="D745" s="3">
        <v>2500</v>
      </c>
      <c r="E745" s="3" t="s">
        <v>2287</v>
      </c>
      <c r="F745" s="3">
        <v>103</v>
      </c>
      <c r="G745" s="3" t="s">
        <v>2285</v>
      </c>
      <c r="H745" s="31" t="s">
        <v>2437</v>
      </c>
      <c r="I745" s="32">
        <v>0</v>
      </c>
      <c r="J745" s="32">
        <v>2559</v>
      </c>
      <c r="K745" s="40">
        <v>0</v>
      </c>
      <c r="L745" s="40">
        <v>0</v>
      </c>
      <c r="M745" s="451">
        <f t="shared" ref="M745" si="150">N745-K745</f>
        <v>2668</v>
      </c>
      <c r="N745" s="417">
        <v>2668</v>
      </c>
    </row>
    <row r="746" spans="1:14" outlineLevel="6" x14ac:dyDescent="0.4">
      <c r="A746" s="70">
        <v>10</v>
      </c>
      <c r="B746" s="3">
        <v>600</v>
      </c>
      <c r="C746" s="3">
        <v>0</v>
      </c>
      <c r="D746" s="3">
        <v>2500</v>
      </c>
      <c r="E746" s="3">
        <v>311</v>
      </c>
      <c r="F746" s="3">
        <v>0</v>
      </c>
      <c r="G746" s="3">
        <v>0</v>
      </c>
      <c r="H746" s="31" t="s">
        <v>354</v>
      </c>
      <c r="I746" s="32">
        <v>1379</v>
      </c>
      <c r="J746" s="32">
        <v>1384</v>
      </c>
      <c r="K746" s="40">
        <v>1750</v>
      </c>
      <c r="L746" s="40">
        <v>1750</v>
      </c>
      <c r="M746" s="451">
        <f t="shared" si="149"/>
        <v>-150</v>
      </c>
      <c r="N746" s="417">
        <v>1600</v>
      </c>
    </row>
    <row r="747" spans="1:14" outlineLevel="6" x14ac:dyDescent="0.4">
      <c r="A747" s="70">
        <v>10</v>
      </c>
      <c r="B747" s="3">
        <v>600</v>
      </c>
      <c r="C747" s="3">
        <v>0</v>
      </c>
      <c r="D747" s="3">
        <v>2500</v>
      </c>
      <c r="E747" s="3">
        <v>334</v>
      </c>
      <c r="F747" s="3">
        <v>0</v>
      </c>
      <c r="G747" s="3">
        <v>0</v>
      </c>
      <c r="H747" s="31" t="s">
        <v>355</v>
      </c>
      <c r="I747" s="32">
        <v>16575</v>
      </c>
      <c r="J747" s="32">
        <v>22724</v>
      </c>
      <c r="K747" s="40">
        <v>25000</v>
      </c>
      <c r="L747" s="40">
        <v>25000</v>
      </c>
      <c r="M747" s="451">
        <f t="shared" si="149"/>
        <v>-6000</v>
      </c>
      <c r="N747" s="417">
        <v>19000</v>
      </c>
    </row>
    <row r="748" spans="1:14" outlineLevel="6" x14ac:dyDescent="0.4">
      <c r="A748" s="70">
        <v>10</v>
      </c>
      <c r="B748" s="3">
        <v>600</v>
      </c>
      <c r="C748" s="3">
        <v>0</v>
      </c>
      <c r="D748" s="3">
        <v>2500</v>
      </c>
      <c r="E748" s="3">
        <v>334</v>
      </c>
      <c r="F748" s="3">
        <v>0</v>
      </c>
      <c r="G748" s="3" t="s">
        <v>1323</v>
      </c>
      <c r="H748" s="31" t="s">
        <v>1345</v>
      </c>
      <c r="I748" s="32">
        <v>0</v>
      </c>
      <c r="J748" s="32">
        <v>9343</v>
      </c>
      <c r="K748" s="40">
        <v>8000</v>
      </c>
      <c r="L748" s="40">
        <v>0</v>
      </c>
      <c r="M748" s="451">
        <f t="shared" si="149"/>
        <v>-8000</v>
      </c>
      <c r="N748" s="417">
        <v>0</v>
      </c>
    </row>
    <row r="749" spans="1:14" outlineLevel="6" x14ac:dyDescent="0.4">
      <c r="A749" s="70">
        <v>10</v>
      </c>
      <c r="B749" s="3">
        <v>600</v>
      </c>
      <c r="C749" s="3">
        <v>0</v>
      </c>
      <c r="D749" s="3">
        <v>2500</v>
      </c>
      <c r="E749" s="3">
        <v>531</v>
      </c>
      <c r="F749" s="3">
        <v>0</v>
      </c>
      <c r="G749" s="3">
        <v>0</v>
      </c>
      <c r="H749" s="31" t="s">
        <v>629</v>
      </c>
      <c r="I749" s="32">
        <v>373</v>
      </c>
      <c r="J749" s="32">
        <v>0</v>
      </c>
      <c r="K749" s="40">
        <v>0</v>
      </c>
      <c r="L749" s="40">
        <v>0</v>
      </c>
      <c r="M749" s="451">
        <f t="shared" si="149"/>
        <v>0</v>
      </c>
      <c r="N749" s="417">
        <v>0</v>
      </c>
    </row>
    <row r="750" spans="1:14" outlineLevel="6" x14ac:dyDescent="0.4">
      <c r="A750" s="70">
        <v>10</v>
      </c>
      <c r="B750" s="3">
        <v>600</v>
      </c>
      <c r="C750" s="3">
        <v>0</v>
      </c>
      <c r="D750" s="3">
        <v>2500</v>
      </c>
      <c r="E750" s="3">
        <v>600</v>
      </c>
      <c r="F750" s="3">
        <v>0</v>
      </c>
      <c r="G750" s="3">
        <v>0</v>
      </c>
      <c r="H750" s="31" t="s">
        <v>356</v>
      </c>
      <c r="I750" s="32">
        <v>1442</v>
      </c>
      <c r="J750" s="32">
        <v>1976</v>
      </c>
      <c r="K750" s="40">
        <v>2000</v>
      </c>
      <c r="L750" s="40">
        <v>2000</v>
      </c>
      <c r="M750" s="451">
        <f t="shared" si="149"/>
        <v>0</v>
      </c>
      <c r="N750" s="417">
        <v>2000</v>
      </c>
    </row>
    <row r="751" spans="1:14" outlineLevel="6" x14ac:dyDescent="0.4">
      <c r="A751" s="70">
        <v>10</v>
      </c>
      <c r="B751" s="3">
        <v>600</v>
      </c>
      <c r="C751" s="3">
        <v>0</v>
      </c>
      <c r="D751" s="3">
        <v>2500</v>
      </c>
      <c r="E751" s="3">
        <v>735</v>
      </c>
      <c r="F751" s="3">
        <v>0</v>
      </c>
      <c r="G751" s="3">
        <v>0</v>
      </c>
      <c r="H751" s="31" t="s">
        <v>357</v>
      </c>
      <c r="I751" s="32">
        <v>739</v>
      </c>
      <c r="J751" s="32">
        <v>281</v>
      </c>
      <c r="K751" s="40">
        <v>800</v>
      </c>
      <c r="L751" s="40">
        <v>1200</v>
      </c>
      <c r="M751" s="451">
        <f t="shared" si="149"/>
        <v>200</v>
      </c>
      <c r="N751" s="417">
        <v>1000</v>
      </c>
    </row>
    <row r="752" spans="1:14" outlineLevel="6" x14ac:dyDescent="0.4">
      <c r="A752" s="70">
        <v>10</v>
      </c>
      <c r="B752" s="3">
        <v>600</v>
      </c>
      <c r="C752" s="3">
        <v>0</v>
      </c>
      <c r="D752" s="3">
        <v>2500</v>
      </c>
      <c r="E752" s="3">
        <v>735</v>
      </c>
      <c r="F752" s="3">
        <v>0</v>
      </c>
      <c r="G752" s="3" t="s">
        <v>1323</v>
      </c>
      <c r="H752" s="31" t="s">
        <v>1381</v>
      </c>
      <c r="I752" s="32">
        <v>0</v>
      </c>
      <c r="J752" s="32">
        <v>400</v>
      </c>
      <c r="K752" s="40">
        <v>400</v>
      </c>
      <c r="L752" s="40">
        <v>0</v>
      </c>
      <c r="M752" s="451">
        <f t="shared" si="149"/>
        <v>-400</v>
      </c>
      <c r="N752" s="417">
        <v>0</v>
      </c>
    </row>
    <row r="753" spans="1:15" outlineLevel="6" x14ac:dyDescent="0.4">
      <c r="A753" s="70">
        <v>10</v>
      </c>
      <c r="B753" s="3">
        <v>600</v>
      </c>
      <c r="C753" s="3">
        <v>0</v>
      </c>
      <c r="D753" s="3">
        <v>2500</v>
      </c>
      <c r="E753" s="3">
        <v>810</v>
      </c>
      <c r="F753" s="3">
        <v>0</v>
      </c>
      <c r="G753" s="3">
        <v>0</v>
      </c>
      <c r="H753" s="31" t="s">
        <v>630</v>
      </c>
      <c r="I753" s="32">
        <v>32</v>
      </c>
      <c r="J753" s="32">
        <v>60</v>
      </c>
      <c r="K753" s="40">
        <v>800</v>
      </c>
      <c r="L753" s="40">
        <v>800</v>
      </c>
      <c r="M753" s="451">
        <f t="shared" si="149"/>
        <v>0</v>
      </c>
      <c r="N753" s="417">
        <v>800</v>
      </c>
    </row>
    <row r="754" spans="1:15" ht="27" outlineLevel="6" thickBot="1" x14ac:dyDescent="0.45">
      <c r="A754" s="70">
        <v>10</v>
      </c>
      <c r="B754" s="3">
        <v>600</v>
      </c>
      <c r="C754" s="3">
        <v>0</v>
      </c>
      <c r="D754" s="3">
        <v>2500</v>
      </c>
      <c r="E754" s="3" t="s">
        <v>1102</v>
      </c>
      <c r="F754" s="3">
        <v>0</v>
      </c>
      <c r="G754" s="3" t="s">
        <v>606</v>
      </c>
      <c r="H754" s="31" t="s">
        <v>1103</v>
      </c>
      <c r="I754" s="32">
        <v>5000</v>
      </c>
      <c r="J754" s="32">
        <v>8000</v>
      </c>
      <c r="K754" s="40">
        <v>8000</v>
      </c>
      <c r="L754" s="40">
        <v>8000</v>
      </c>
      <c r="M754" s="451">
        <f t="shared" si="149"/>
        <v>0</v>
      </c>
      <c r="N754" s="417">
        <v>8000</v>
      </c>
    </row>
    <row r="755" spans="1:15" ht="27" outlineLevel="5" thickBot="1" x14ac:dyDescent="0.45">
      <c r="A755" s="76"/>
      <c r="B755" s="9"/>
      <c r="C755" s="9"/>
      <c r="D755" s="9" t="s">
        <v>358</v>
      </c>
      <c r="E755" s="9"/>
      <c r="F755" s="9"/>
      <c r="G755" s="9"/>
      <c r="H755" s="44"/>
      <c r="I755" s="42">
        <f>SUBTOTAL(9,I731:I754)</f>
        <v>142213</v>
      </c>
      <c r="J755" s="42">
        <f>SUBTOTAL(9,J731:J754)</f>
        <v>176964</v>
      </c>
      <c r="K755" s="43">
        <f>SUBTOTAL(9,K731:K754)</f>
        <v>170768</v>
      </c>
      <c r="L755" s="43">
        <f>SUBTOTAL(9,L731:L754)</f>
        <v>166047</v>
      </c>
      <c r="M755" s="453">
        <f>N755-K755</f>
        <v>-8277</v>
      </c>
      <c r="N755" s="237">
        <f>SUBTOTAL(9,N731:N754)</f>
        <v>162491</v>
      </c>
    </row>
    <row r="756" spans="1:15" ht="27" outlineLevel="4" thickBot="1" x14ac:dyDescent="0.45">
      <c r="A756" s="75"/>
      <c r="B756" s="8" t="s">
        <v>174</v>
      </c>
      <c r="C756" s="8"/>
      <c r="D756" s="8"/>
      <c r="E756" s="8"/>
      <c r="F756" s="8"/>
      <c r="G756" s="8"/>
      <c r="H756" s="48"/>
      <c r="I756" s="49">
        <f>SUBTOTAL(9,I587:I754)</f>
        <v>529754</v>
      </c>
      <c r="J756" s="49">
        <f>SUBTOTAL(9,J587:J754)</f>
        <v>632940</v>
      </c>
      <c r="K756" s="47">
        <f>SUBTOTAL(9,K587:K755)</f>
        <v>671239</v>
      </c>
      <c r="L756" s="47">
        <f>SUBTOTAL(9,L587:L754)</f>
        <v>622427</v>
      </c>
      <c r="M756" s="455">
        <f>N756-K756</f>
        <v>15080</v>
      </c>
      <c r="N756" s="419">
        <f>SUBTOTAL(9,N587:N755)</f>
        <v>686319</v>
      </c>
    </row>
    <row r="757" spans="1:15" outlineLevel="6" x14ac:dyDescent="0.4">
      <c r="A757" s="70">
        <v>10</v>
      </c>
      <c r="B757" s="3">
        <v>601</v>
      </c>
      <c r="C757" s="3">
        <v>0</v>
      </c>
      <c r="D757" s="3">
        <v>2840</v>
      </c>
      <c r="E757" s="3">
        <v>110</v>
      </c>
      <c r="F757" s="3">
        <v>103</v>
      </c>
      <c r="G757" s="3">
        <v>0</v>
      </c>
      <c r="H757" s="31" t="s">
        <v>359</v>
      </c>
      <c r="I757" s="32">
        <v>39808</v>
      </c>
      <c r="J757" s="32">
        <v>38983</v>
      </c>
      <c r="K757" s="147">
        <f>37883+160</f>
        <v>38043</v>
      </c>
      <c r="L757" s="40">
        <f>38424+163</f>
        <v>38587</v>
      </c>
      <c r="M757" s="451">
        <f>N757-K757</f>
        <v>544</v>
      </c>
      <c r="N757" s="418">
        <v>38587</v>
      </c>
      <c r="O757" s="29" t="s">
        <v>1479</v>
      </c>
    </row>
    <row r="758" spans="1:15" outlineLevel="6" x14ac:dyDescent="0.4">
      <c r="A758" s="70">
        <v>10</v>
      </c>
      <c r="B758" s="3">
        <v>601</v>
      </c>
      <c r="C758" s="3">
        <v>0</v>
      </c>
      <c r="D758" s="3">
        <v>2840</v>
      </c>
      <c r="E758" s="3">
        <v>210</v>
      </c>
      <c r="F758" s="3">
        <v>103</v>
      </c>
      <c r="G758" s="3">
        <v>0</v>
      </c>
      <c r="H758" s="31" t="s">
        <v>360</v>
      </c>
      <c r="I758" s="32">
        <v>57</v>
      </c>
      <c r="J758" s="32">
        <v>53</v>
      </c>
      <c r="K758" s="346">
        <v>54</v>
      </c>
      <c r="L758" s="141">
        <v>54</v>
      </c>
      <c r="M758" s="451">
        <f t="shared" ref="M758:M769" si="151">N758-K758</f>
        <v>0</v>
      </c>
      <c r="N758" s="414">
        <v>54</v>
      </c>
    </row>
    <row r="759" spans="1:15" outlineLevel="6" x14ac:dyDescent="0.4">
      <c r="A759" s="70">
        <v>10</v>
      </c>
      <c r="B759" s="3">
        <v>601</v>
      </c>
      <c r="C759" s="3">
        <v>0</v>
      </c>
      <c r="D759" s="3">
        <v>2840</v>
      </c>
      <c r="E759" s="3">
        <v>215</v>
      </c>
      <c r="F759" s="3">
        <v>103</v>
      </c>
      <c r="G759" s="3">
        <v>0</v>
      </c>
      <c r="H759" s="31" t="s">
        <v>67</v>
      </c>
      <c r="I759" s="32">
        <v>100</v>
      </c>
      <c r="J759" s="32">
        <v>94</v>
      </c>
      <c r="K759" s="346">
        <f>114+1</f>
        <v>115</v>
      </c>
      <c r="L759" s="141">
        <v>116</v>
      </c>
      <c r="M759" s="451">
        <f t="shared" si="151"/>
        <v>1</v>
      </c>
      <c r="N759" s="414">
        <v>116</v>
      </c>
    </row>
    <row r="760" spans="1:15" outlineLevel="6" x14ac:dyDescent="0.4">
      <c r="A760" s="70">
        <v>10</v>
      </c>
      <c r="B760" s="3">
        <v>601</v>
      </c>
      <c r="C760" s="3">
        <v>0</v>
      </c>
      <c r="D760" s="3">
        <v>2840</v>
      </c>
      <c r="E760" s="3">
        <v>221</v>
      </c>
      <c r="F760" s="3">
        <v>103</v>
      </c>
      <c r="G760" s="3">
        <v>0</v>
      </c>
      <c r="H760" s="31" t="s">
        <v>361</v>
      </c>
      <c r="I760" s="32">
        <v>483</v>
      </c>
      <c r="J760" s="32">
        <v>456</v>
      </c>
      <c r="K760" s="346">
        <f>550+2</f>
        <v>552</v>
      </c>
      <c r="L760" s="141">
        <v>560</v>
      </c>
      <c r="M760" s="451">
        <f t="shared" si="151"/>
        <v>8</v>
      </c>
      <c r="N760" s="414">
        <v>560</v>
      </c>
    </row>
    <row r="761" spans="1:15" outlineLevel="6" x14ac:dyDescent="0.4">
      <c r="A761" s="70">
        <v>10</v>
      </c>
      <c r="B761" s="3">
        <v>601</v>
      </c>
      <c r="C761" s="3">
        <v>0</v>
      </c>
      <c r="D761" s="3">
        <v>2840</v>
      </c>
      <c r="E761" s="3">
        <v>230</v>
      </c>
      <c r="F761" s="3">
        <v>103</v>
      </c>
      <c r="G761" s="3">
        <v>0</v>
      </c>
      <c r="H761" s="31" t="s">
        <v>362</v>
      </c>
      <c r="I761" s="32">
        <v>6541</v>
      </c>
      <c r="J761" s="32">
        <v>6301</v>
      </c>
      <c r="K761" s="346">
        <v>7634</v>
      </c>
      <c r="L761" s="141">
        <v>7872</v>
      </c>
      <c r="M761" s="451">
        <f t="shared" si="151"/>
        <v>238</v>
      </c>
      <c r="N761" s="414">
        <v>7872</v>
      </c>
    </row>
    <row r="762" spans="1:15" outlineLevel="6" x14ac:dyDescent="0.4">
      <c r="A762" s="70">
        <v>10</v>
      </c>
      <c r="B762" s="3">
        <v>601</v>
      </c>
      <c r="C762" s="3">
        <v>0</v>
      </c>
      <c r="D762" s="3">
        <v>2840</v>
      </c>
      <c r="E762" s="3">
        <v>250</v>
      </c>
      <c r="F762" s="3">
        <v>103</v>
      </c>
      <c r="G762" s="3">
        <v>0</v>
      </c>
      <c r="H762" s="31" t="s">
        <v>363</v>
      </c>
      <c r="I762" s="32">
        <v>4853</v>
      </c>
      <c r="J762" s="32">
        <v>4799</v>
      </c>
      <c r="K762" s="346">
        <v>4777</v>
      </c>
      <c r="L762" s="141">
        <v>4983</v>
      </c>
      <c r="M762" s="451">
        <f t="shared" si="151"/>
        <v>206</v>
      </c>
      <c r="N762" s="414">
        <v>4983</v>
      </c>
    </row>
    <row r="763" spans="1:15" outlineLevel="6" x14ac:dyDescent="0.4">
      <c r="A763" s="70">
        <v>10</v>
      </c>
      <c r="B763" s="3">
        <v>601</v>
      </c>
      <c r="C763" s="3">
        <v>0</v>
      </c>
      <c r="D763" s="3">
        <v>2840</v>
      </c>
      <c r="E763" s="3" t="s">
        <v>2287</v>
      </c>
      <c r="F763" s="3">
        <v>103</v>
      </c>
      <c r="G763" s="3" t="s">
        <v>2285</v>
      </c>
      <c r="H763" s="31" t="s">
        <v>2438</v>
      </c>
      <c r="I763" s="32">
        <v>0</v>
      </c>
      <c r="J763" s="32">
        <v>967</v>
      </c>
      <c r="K763" s="346">
        <v>0</v>
      </c>
      <c r="L763" s="141">
        <v>0</v>
      </c>
      <c r="M763" s="451">
        <f t="shared" ref="M763" si="152">N763-K763</f>
        <v>1158</v>
      </c>
      <c r="N763" s="414">
        <v>1158</v>
      </c>
    </row>
    <row r="764" spans="1:15" outlineLevel="6" x14ac:dyDescent="0.4">
      <c r="A764" s="70">
        <v>10</v>
      </c>
      <c r="B764" s="3">
        <v>601</v>
      </c>
      <c r="C764" s="3">
        <v>0</v>
      </c>
      <c r="D764" s="3">
        <v>2840</v>
      </c>
      <c r="E764" s="3">
        <v>334</v>
      </c>
      <c r="F764" s="3">
        <v>0</v>
      </c>
      <c r="G764" s="3">
        <v>0</v>
      </c>
      <c r="H764" s="31" t="s">
        <v>364</v>
      </c>
      <c r="I764" s="32">
        <v>9415</v>
      </c>
      <c r="J764" s="32">
        <v>9826</v>
      </c>
      <c r="K764" s="348">
        <v>9500</v>
      </c>
      <c r="L764" s="141">
        <v>9500</v>
      </c>
      <c r="M764" s="451">
        <f t="shared" si="151"/>
        <v>0</v>
      </c>
      <c r="N764" s="415">
        <v>9500</v>
      </c>
    </row>
    <row r="765" spans="1:15" outlineLevel="6" x14ac:dyDescent="0.4">
      <c r="A765" s="70">
        <v>10</v>
      </c>
      <c r="B765" s="3">
        <v>601</v>
      </c>
      <c r="C765" s="3">
        <v>0</v>
      </c>
      <c r="D765" s="3">
        <v>2840</v>
      </c>
      <c r="E765" s="3">
        <v>534</v>
      </c>
      <c r="F765" s="3">
        <v>0</v>
      </c>
      <c r="G765" s="3">
        <v>0</v>
      </c>
      <c r="H765" s="31" t="s">
        <v>365</v>
      </c>
      <c r="I765" s="32">
        <v>7778</v>
      </c>
      <c r="J765" s="32">
        <v>6581</v>
      </c>
      <c r="K765" s="346">
        <v>8500</v>
      </c>
      <c r="L765" s="141">
        <v>8500</v>
      </c>
      <c r="M765" s="451">
        <f t="shared" si="151"/>
        <v>0</v>
      </c>
      <c r="N765" s="414">
        <v>8500</v>
      </c>
    </row>
    <row r="766" spans="1:15" outlineLevel="6" x14ac:dyDescent="0.4">
      <c r="A766" s="70">
        <v>10</v>
      </c>
      <c r="B766" s="3">
        <v>601</v>
      </c>
      <c r="C766" s="3">
        <v>0</v>
      </c>
      <c r="D766" s="3">
        <v>2840</v>
      </c>
      <c r="E766" s="3">
        <v>601</v>
      </c>
      <c r="F766" s="3">
        <v>0</v>
      </c>
      <c r="G766" s="3">
        <v>0</v>
      </c>
      <c r="H766" s="31" t="s">
        <v>366</v>
      </c>
      <c r="I766" s="32">
        <v>8122</v>
      </c>
      <c r="J766" s="32">
        <v>1668</v>
      </c>
      <c r="K766" s="346">
        <v>8500</v>
      </c>
      <c r="L766" s="141">
        <v>8500</v>
      </c>
      <c r="M766" s="451">
        <f t="shared" si="151"/>
        <v>0</v>
      </c>
      <c r="N766" s="414">
        <v>8500</v>
      </c>
    </row>
    <row r="767" spans="1:15" outlineLevel="6" x14ac:dyDescent="0.4">
      <c r="A767" s="70">
        <v>10</v>
      </c>
      <c r="B767" s="3">
        <v>601</v>
      </c>
      <c r="C767" s="3">
        <v>0</v>
      </c>
      <c r="D767" s="3">
        <v>2840</v>
      </c>
      <c r="E767" s="3">
        <v>734</v>
      </c>
      <c r="F767" s="3">
        <v>0</v>
      </c>
      <c r="G767" s="3">
        <v>0</v>
      </c>
      <c r="H767" s="31" t="s">
        <v>367</v>
      </c>
      <c r="I767" s="32">
        <v>21293</v>
      </c>
      <c r="J767" s="32">
        <v>24568</v>
      </c>
      <c r="K767" s="346">
        <f>15000+6132</f>
        <v>21132</v>
      </c>
      <c r="L767" s="346">
        <v>23000</v>
      </c>
      <c r="M767" s="451">
        <f t="shared" si="151"/>
        <v>-11132</v>
      </c>
      <c r="N767" s="414">
        <v>10000</v>
      </c>
    </row>
    <row r="768" spans="1:15" outlineLevel="6" x14ac:dyDescent="0.4">
      <c r="A768" s="70">
        <v>10</v>
      </c>
      <c r="B768" s="3">
        <v>601</v>
      </c>
      <c r="C768" s="3">
        <v>0</v>
      </c>
      <c r="D768" s="3">
        <v>2840</v>
      </c>
      <c r="E768" s="3">
        <v>734</v>
      </c>
      <c r="F768" s="3">
        <v>0</v>
      </c>
      <c r="G768" s="3" t="s">
        <v>1323</v>
      </c>
      <c r="H768" s="31" t="s">
        <v>1349</v>
      </c>
      <c r="I768" s="32">
        <v>0</v>
      </c>
      <c r="J768" s="32">
        <v>14369</v>
      </c>
      <c r="K768" s="346">
        <v>12000</v>
      </c>
      <c r="L768" s="141">
        <v>0</v>
      </c>
      <c r="M768" s="451">
        <f t="shared" si="151"/>
        <v>2000</v>
      </c>
      <c r="N768" s="414">
        <v>14000</v>
      </c>
    </row>
    <row r="769" spans="1:15" ht="27" outlineLevel="6" thickBot="1" x14ac:dyDescent="0.45">
      <c r="A769" s="70" t="s">
        <v>40</v>
      </c>
      <c r="B769" s="3" t="s">
        <v>1165</v>
      </c>
      <c r="C769" s="3" t="s">
        <v>448</v>
      </c>
      <c r="D769" s="3" t="s">
        <v>1166</v>
      </c>
      <c r="E769" s="3" t="s">
        <v>1216</v>
      </c>
      <c r="F769" s="3" t="s">
        <v>448</v>
      </c>
      <c r="G769" s="3" t="s">
        <v>1106</v>
      </c>
      <c r="H769" s="31" t="s">
        <v>1217</v>
      </c>
      <c r="I769" s="32">
        <v>1039</v>
      </c>
      <c r="J769" s="32">
        <v>0</v>
      </c>
      <c r="K769" s="346"/>
      <c r="L769" s="141">
        <v>0</v>
      </c>
      <c r="M769" s="451">
        <f t="shared" si="151"/>
        <v>0</v>
      </c>
      <c r="N769" s="414"/>
    </row>
    <row r="770" spans="1:15" ht="27" outlineLevel="5" thickBot="1" x14ac:dyDescent="0.45">
      <c r="A770" s="76"/>
      <c r="B770" s="9"/>
      <c r="C770" s="9"/>
      <c r="D770" s="9" t="s">
        <v>368</v>
      </c>
      <c r="E770" s="9"/>
      <c r="F770" s="9"/>
      <c r="G770" s="9"/>
      <c r="H770" s="44"/>
      <c r="I770" s="42">
        <f>SUBTOTAL(9,I757:I769)</f>
        <v>99489</v>
      </c>
      <c r="J770" s="42">
        <f>SUBTOTAL(9,J757:J769)</f>
        <v>108665</v>
      </c>
      <c r="K770" s="43">
        <f>SUBTOTAL(9,K757:K768)</f>
        <v>110807</v>
      </c>
      <c r="L770" s="43">
        <f>SUBTOTAL(9,L757:L769)</f>
        <v>101672</v>
      </c>
      <c r="M770" s="453">
        <f>N770-K770</f>
        <v>-6977</v>
      </c>
      <c r="N770" s="237">
        <f>SUBTOTAL(9,N757:N768)</f>
        <v>103830</v>
      </c>
    </row>
    <row r="771" spans="1:15" ht="27" outlineLevel="4" thickBot="1" x14ac:dyDescent="0.45">
      <c r="A771" s="75"/>
      <c r="B771" s="8" t="s">
        <v>369</v>
      </c>
      <c r="C771" s="8"/>
      <c r="D771" s="8"/>
      <c r="E771" s="8"/>
      <c r="F771" s="8"/>
      <c r="G771" s="8"/>
      <c r="H771" s="48"/>
      <c r="I771" s="49">
        <f>SUBTOTAL(9,I757:I769)</f>
        <v>99489</v>
      </c>
      <c r="J771" s="49">
        <f>SUBTOTAL(9,J757:J769)</f>
        <v>108665</v>
      </c>
      <c r="K771" s="47">
        <f>SUBTOTAL(9,K757:K770)</f>
        <v>110807</v>
      </c>
      <c r="L771" s="47">
        <f>SUBTOTAL(9,L757:L769)</f>
        <v>101672</v>
      </c>
      <c r="M771" s="455">
        <f>N771-K771</f>
        <v>-6977</v>
      </c>
      <c r="N771" s="419">
        <f>SUBTOTAL(9,N757:N770)</f>
        <v>103830</v>
      </c>
    </row>
    <row r="772" spans="1:15" outlineLevel="6" x14ac:dyDescent="0.4">
      <c r="A772" s="70">
        <v>10</v>
      </c>
      <c r="B772" s="3">
        <v>700</v>
      </c>
      <c r="C772" s="3">
        <v>0</v>
      </c>
      <c r="D772" s="3">
        <v>2600</v>
      </c>
      <c r="E772" s="3">
        <v>110</v>
      </c>
      <c r="F772" s="3" t="s">
        <v>1118</v>
      </c>
      <c r="G772" s="3">
        <v>0</v>
      </c>
      <c r="H772" s="31" t="s">
        <v>1119</v>
      </c>
      <c r="I772" s="32">
        <v>1363</v>
      </c>
      <c r="J772" s="32">
        <v>48349</v>
      </c>
      <c r="K772" s="147">
        <f>45760+200</f>
        <v>45960</v>
      </c>
      <c r="L772" s="40">
        <v>46601</v>
      </c>
      <c r="M772" s="451">
        <f>N772-K772</f>
        <v>641</v>
      </c>
      <c r="N772" s="418">
        <v>46601</v>
      </c>
      <c r="O772" s="29" t="s">
        <v>1482</v>
      </c>
    </row>
    <row r="773" spans="1:15" outlineLevel="6" x14ac:dyDescent="0.4">
      <c r="A773" s="70">
        <v>10</v>
      </c>
      <c r="B773" s="3">
        <v>700</v>
      </c>
      <c r="C773" s="3">
        <v>0</v>
      </c>
      <c r="D773" s="3">
        <v>2600</v>
      </c>
      <c r="E773" s="3">
        <v>110</v>
      </c>
      <c r="F773" s="3">
        <v>608</v>
      </c>
      <c r="G773" s="3">
        <v>0</v>
      </c>
      <c r="H773" s="31" t="s">
        <v>1120</v>
      </c>
      <c r="I773" s="32">
        <v>46959</v>
      </c>
      <c r="J773" s="32">
        <v>31084</v>
      </c>
      <c r="K773" s="147">
        <f>32230+400</f>
        <v>32630</v>
      </c>
      <c r="L773" s="394">
        <v>34000</v>
      </c>
      <c r="M773" s="451">
        <f t="shared" ref="M773:M805" si="153">N773-K773</f>
        <v>1970</v>
      </c>
      <c r="N773" s="418">
        <v>34600</v>
      </c>
      <c r="O773" s="29" t="s">
        <v>2450</v>
      </c>
    </row>
    <row r="774" spans="1:15" outlineLevel="6" x14ac:dyDescent="0.4">
      <c r="A774" s="70">
        <v>10</v>
      </c>
      <c r="B774" s="3">
        <v>700</v>
      </c>
      <c r="C774" s="3">
        <v>0</v>
      </c>
      <c r="D774" s="3">
        <v>2600</v>
      </c>
      <c r="E774" s="3">
        <v>110</v>
      </c>
      <c r="F774" s="3">
        <v>613</v>
      </c>
      <c r="G774" s="3">
        <v>0</v>
      </c>
      <c r="H774" s="31" t="s">
        <v>1121</v>
      </c>
      <c r="I774" s="32">
        <v>49849</v>
      </c>
      <c r="J774" s="32">
        <v>36902</v>
      </c>
      <c r="K774" s="147">
        <f>35360+200</f>
        <v>35560</v>
      </c>
      <c r="L774" s="40">
        <v>36056</v>
      </c>
      <c r="M774" s="451">
        <f t="shared" si="153"/>
        <v>496</v>
      </c>
      <c r="N774" s="418">
        <v>36056</v>
      </c>
      <c r="O774" s="29" t="s">
        <v>1483</v>
      </c>
    </row>
    <row r="775" spans="1:15" outlineLevel="6" x14ac:dyDescent="0.4">
      <c r="A775" s="70">
        <v>10</v>
      </c>
      <c r="B775" s="3">
        <v>700</v>
      </c>
      <c r="C775" s="3">
        <v>0</v>
      </c>
      <c r="D775" s="3">
        <v>2600</v>
      </c>
      <c r="E775" s="3">
        <v>210</v>
      </c>
      <c r="F775" s="3" t="s">
        <v>1118</v>
      </c>
      <c r="G775" s="3">
        <v>0</v>
      </c>
      <c r="H775" s="31" t="s">
        <v>1122</v>
      </c>
      <c r="I775" s="32">
        <v>5</v>
      </c>
      <c r="J775" s="32">
        <v>60</v>
      </c>
      <c r="K775" s="40">
        <v>66</v>
      </c>
      <c r="L775" s="40">
        <v>66</v>
      </c>
      <c r="M775" s="451">
        <f t="shared" si="153"/>
        <v>0</v>
      </c>
      <c r="N775" s="417">
        <v>66</v>
      </c>
    </row>
    <row r="776" spans="1:15" outlineLevel="6" x14ac:dyDescent="0.4">
      <c r="A776" s="70">
        <v>10</v>
      </c>
      <c r="B776" s="3">
        <v>700</v>
      </c>
      <c r="C776" s="3">
        <v>0</v>
      </c>
      <c r="D776" s="3">
        <v>2600</v>
      </c>
      <c r="E776" s="3">
        <v>210</v>
      </c>
      <c r="F776" s="3">
        <v>608</v>
      </c>
      <c r="G776" s="3">
        <v>0</v>
      </c>
      <c r="H776" s="31" t="s">
        <v>1123</v>
      </c>
      <c r="I776" s="32">
        <v>112</v>
      </c>
      <c r="J776" s="32">
        <v>18</v>
      </c>
      <c r="K776" s="40">
        <v>66</v>
      </c>
      <c r="L776" s="40">
        <v>0</v>
      </c>
      <c r="M776" s="451">
        <f t="shared" si="153"/>
        <v>-62</v>
      </c>
      <c r="N776" s="417">
        <v>4</v>
      </c>
    </row>
    <row r="777" spans="1:15" outlineLevel="6" x14ac:dyDescent="0.4">
      <c r="A777" s="70">
        <v>10</v>
      </c>
      <c r="B777" s="3">
        <v>700</v>
      </c>
      <c r="C777" s="3">
        <v>0</v>
      </c>
      <c r="D777" s="3">
        <v>2600</v>
      </c>
      <c r="E777" s="3">
        <v>210</v>
      </c>
      <c r="F777" s="3">
        <v>613</v>
      </c>
      <c r="G777" s="3">
        <v>0</v>
      </c>
      <c r="H777" s="31" t="s">
        <v>1124</v>
      </c>
      <c r="I777" s="32">
        <v>72</v>
      </c>
      <c r="J777" s="32">
        <v>65</v>
      </c>
      <c r="K777" s="40">
        <v>66</v>
      </c>
      <c r="L777" s="40">
        <v>66</v>
      </c>
      <c r="M777" s="451">
        <f t="shared" si="153"/>
        <v>0</v>
      </c>
      <c r="N777" s="417">
        <v>66</v>
      </c>
    </row>
    <row r="778" spans="1:15" outlineLevel="6" x14ac:dyDescent="0.4">
      <c r="A778" s="70">
        <v>10</v>
      </c>
      <c r="B778" s="3">
        <v>700</v>
      </c>
      <c r="C778" s="3">
        <v>0</v>
      </c>
      <c r="D778" s="3">
        <v>2600</v>
      </c>
      <c r="E778" s="3">
        <v>215</v>
      </c>
      <c r="F778" s="3" t="s">
        <v>1118</v>
      </c>
      <c r="G778" s="3">
        <v>0</v>
      </c>
      <c r="H778" s="31" t="s">
        <v>1127</v>
      </c>
      <c r="I778" s="32">
        <v>16</v>
      </c>
      <c r="J778" s="32">
        <v>144</v>
      </c>
      <c r="K778" s="40">
        <f>138+1</f>
        <v>139</v>
      </c>
      <c r="L778" s="40">
        <v>140</v>
      </c>
      <c r="M778" s="451">
        <f t="shared" si="153"/>
        <v>1</v>
      </c>
      <c r="N778" s="417">
        <v>140</v>
      </c>
    </row>
    <row r="779" spans="1:15" outlineLevel="6" x14ac:dyDescent="0.4">
      <c r="A779" s="70">
        <v>10</v>
      </c>
      <c r="B779" s="3">
        <v>700</v>
      </c>
      <c r="C779" s="3">
        <v>0</v>
      </c>
      <c r="D779" s="3">
        <v>2600</v>
      </c>
      <c r="E779" s="3">
        <v>215</v>
      </c>
      <c r="F779" s="3">
        <v>608</v>
      </c>
      <c r="G779" s="3">
        <v>0</v>
      </c>
      <c r="H779" s="31" t="s">
        <v>1125</v>
      </c>
      <c r="I779" s="32">
        <v>140</v>
      </c>
      <c r="J779" s="32">
        <v>93</v>
      </c>
      <c r="K779" s="40">
        <f>95+1</f>
        <v>96</v>
      </c>
      <c r="L779" s="40">
        <v>102</v>
      </c>
      <c r="M779" s="451">
        <f t="shared" si="153"/>
        <v>8</v>
      </c>
      <c r="N779" s="417">
        <v>104</v>
      </c>
    </row>
    <row r="780" spans="1:15" outlineLevel="6" x14ac:dyDescent="0.4">
      <c r="A780" s="70">
        <v>10</v>
      </c>
      <c r="B780" s="3">
        <v>700</v>
      </c>
      <c r="C780" s="3">
        <v>0</v>
      </c>
      <c r="D780" s="3">
        <v>2600</v>
      </c>
      <c r="E780" s="3">
        <v>215</v>
      </c>
      <c r="F780" s="3">
        <v>613</v>
      </c>
      <c r="G780" s="3">
        <v>0</v>
      </c>
      <c r="H780" s="31" t="s">
        <v>1126</v>
      </c>
      <c r="I780" s="32">
        <v>157</v>
      </c>
      <c r="J780" s="32">
        <v>111</v>
      </c>
      <c r="K780" s="40">
        <f>107+1</f>
        <v>108</v>
      </c>
      <c r="L780" s="40">
        <v>109</v>
      </c>
      <c r="M780" s="451">
        <f t="shared" si="153"/>
        <v>1</v>
      </c>
      <c r="N780" s="417">
        <v>109</v>
      </c>
    </row>
    <row r="781" spans="1:15" outlineLevel="6" x14ac:dyDescent="0.4">
      <c r="A781" s="70">
        <v>10</v>
      </c>
      <c r="B781" s="3">
        <v>700</v>
      </c>
      <c r="C781" s="3">
        <v>0</v>
      </c>
      <c r="D781" s="3">
        <v>2600</v>
      </c>
      <c r="E781" s="3">
        <v>221</v>
      </c>
      <c r="F781" s="3" t="s">
        <v>1118</v>
      </c>
      <c r="G781" s="3">
        <v>0</v>
      </c>
      <c r="H781" s="31" t="s">
        <v>1128</v>
      </c>
      <c r="I781" s="32">
        <v>3888</v>
      </c>
      <c r="J781" s="32">
        <v>696</v>
      </c>
      <c r="K781" s="40">
        <f>664+3</f>
        <v>667</v>
      </c>
      <c r="L781" s="40">
        <v>676</v>
      </c>
      <c r="M781" s="451">
        <f t="shared" si="153"/>
        <v>9</v>
      </c>
      <c r="N781" s="417">
        <v>676</v>
      </c>
    </row>
    <row r="782" spans="1:15" outlineLevel="6" x14ac:dyDescent="0.4">
      <c r="A782" s="70">
        <v>10</v>
      </c>
      <c r="B782" s="3">
        <v>700</v>
      </c>
      <c r="C782" s="3">
        <v>0</v>
      </c>
      <c r="D782" s="3">
        <v>2600</v>
      </c>
      <c r="E782" s="3">
        <v>221</v>
      </c>
      <c r="F782" s="3">
        <v>608</v>
      </c>
      <c r="G782" s="3">
        <v>0</v>
      </c>
      <c r="H782" s="31" t="s">
        <v>1129</v>
      </c>
      <c r="I782" s="32">
        <v>677</v>
      </c>
      <c r="J782" s="32">
        <v>448</v>
      </c>
      <c r="K782" s="40">
        <f>460+6</f>
        <v>466</v>
      </c>
      <c r="L782" s="40">
        <v>493</v>
      </c>
      <c r="M782" s="451">
        <f t="shared" si="153"/>
        <v>36</v>
      </c>
      <c r="N782" s="417">
        <v>502</v>
      </c>
    </row>
    <row r="783" spans="1:15" outlineLevel="6" x14ac:dyDescent="0.4">
      <c r="A783" s="70">
        <v>10</v>
      </c>
      <c r="B783" s="3">
        <v>700</v>
      </c>
      <c r="C783" s="3">
        <v>0</v>
      </c>
      <c r="D783" s="3">
        <v>2600</v>
      </c>
      <c r="E783" s="3">
        <v>221</v>
      </c>
      <c r="F783" s="3">
        <v>613</v>
      </c>
      <c r="G783" s="3">
        <v>0</v>
      </c>
      <c r="H783" s="31" t="s">
        <v>1130</v>
      </c>
      <c r="I783" s="32">
        <v>761</v>
      </c>
      <c r="J783" s="32">
        <v>535</v>
      </c>
      <c r="K783" s="40">
        <f>513+3</f>
        <v>516</v>
      </c>
      <c r="L783" s="40">
        <v>523</v>
      </c>
      <c r="M783" s="451">
        <f t="shared" si="153"/>
        <v>7</v>
      </c>
      <c r="N783" s="417">
        <v>523</v>
      </c>
    </row>
    <row r="784" spans="1:15" outlineLevel="6" x14ac:dyDescent="0.4">
      <c r="A784" s="70">
        <v>10</v>
      </c>
      <c r="B784" s="3">
        <v>700</v>
      </c>
      <c r="C784" s="3">
        <v>0</v>
      </c>
      <c r="D784" s="3">
        <v>2600</v>
      </c>
      <c r="E784" s="3">
        <v>230</v>
      </c>
      <c r="F784" s="3" t="s">
        <v>1118</v>
      </c>
      <c r="G784" s="3">
        <v>0</v>
      </c>
      <c r="H784" s="31" t="s">
        <v>1131</v>
      </c>
      <c r="I784" s="32">
        <v>1043</v>
      </c>
      <c r="J784" s="32">
        <v>9744</v>
      </c>
      <c r="K784" s="40">
        <v>9221</v>
      </c>
      <c r="L784" s="40">
        <v>9507</v>
      </c>
      <c r="M784" s="451">
        <f t="shared" si="153"/>
        <v>286</v>
      </c>
      <c r="N784" s="417">
        <v>9507</v>
      </c>
    </row>
    <row r="785" spans="1:14" outlineLevel="6" x14ac:dyDescent="0.4">
      <c r="A785" s="70">
        <v>10</v>
      </c>
      <c r="B785" s="3">
        <v>700</v>
      </c>
      <c r="C785" s="3">
        <v>0</v>
      </c>
      <c r="D785" s="3">
        <v>2600</v>
      </c>
      <c r="E785" s="3">
        <v>230</v>
      </c>
      <c r="F785" s="3">
        <v>608</v>
      </c>
      <c r="G785" s="3">
        <v>0</v>
      </c>
      <c r="H785" s="31" t="s">
        <v>370</v>
      </c>
      <c r="I785" s="32">
        <v>9087</v>
      </c>
      <c r="J785" s="32">
        <v>6149</v>
      </c>
      <c r="K785" s="40">
        <v>6390</v>
      </c>
      <c r="L785" s="40">
        <v>6936</v>
      </c>
      <c r="M785" s="451">
        <f t="shared" si="153"/>
        <v>669</v>
      </c>
      <c r="N785" s="417">
        <v>7059</v>
      </c>
    </row>
    <row r="786" spans="1:14" outlineLevel="6" x14ac:dyDescent="0.4">
      <c r="A786" s="70">
        <v>10</v>
      </c>
      <c r="B786" s="3">
        <v>700</v>
      </c>
      <c r="C786" s="3">
        <v>0</v>
      </c>
      <c r="D786" s="3">
        <v>2600</v>
      </c>
      <c r="E786" s="3">
        <v>230</v>
      </c>
      <c r="F786" s="3">
        <v>613</v>
      </c>
      <c r="G786" s="3">
        <v>0</v>
      </c>
      <c r="H786" s="31" t="s">
        <v>1132</v>
      </c>
      <c r="I786" s="32">
        <v>10352</v>
      </c>
      <c r="J786" s="32">
        <v>7397</v>
      </c>
      <c r="K786" s="40">
        <v>7126</v>
      </c>
      <c r="L786" s="40">
        <v>7356</v>
      </c>
      <c r="M786" s="451">
        <f t="shared" si="153"/>
        <v>230</v>
      </c>
      <c r="N786" s="417">
        <v>7356</v>
      </c>
    </row>
    <row r="787" spans="1:14" outlineLevel="6" x14ac:dyDescent="0.4">
      <c r="A787" s="70">
        <v>10</v>
      </c>
      <c r="B787" s="3">
        <v>700</v>
      </c>
      <c r="C787" s="3">
        <v>0</v>
      </c>
      <c r="D787" s="3">
        <v>2600</v>
      </c>
      <c r="E787" s="3">
        <v>250</v>
      </c>
      <c r="F787" s="3" t="s">
        <v>1118</v>
      </c>
      <c r="G787" s="3">
        <v>0</v>
      </c>
      <c r="H787" s="31" t="s">
        <v>1133</v>
      </c>
      <c r="I787" s="32">
        <v>490</v>
      </c>
      <c r="J787" s="32">
        <v>5903</v>
      </c>
      <c r="K787" s="40">
        <v>5879</v>
      </c>
      <c r="L787" s="40">
        <v>6132</v>
      </c>
      <c r="M787" s="451">
        <f t="shared" si="153"/>
        <v>290</v>
      </c>
      <c r="N787" s="417">
        <v>6169</v>
      </c>
    </row>
    <row r="788" spans="1:14" outlineLevel="6" x14ac:dyDescent="0.4">
      <c r="A788" s="70">
        <v>10</v>
      </c>
      <c r="B788" s="3">
        <v>700</v>
      </c>
      <c r="C788" s="3">
        <v>0</v>
      </c>
      <c r="D788" s="3">
        <v>2600</v>
      </c>
      <c r="E788" s="3">
        <v>250</v>
      </c>
      <c r="F788" s="3">
        <v>608</v>
      </c>
      <c r="G788" s="3">
        <v>0</v>
      </c>
      <c r="H788" s="31" t="s">
        <v>371</v>
      </c>
      <c r="I788" s="32">
        <v>9537</v>
      </c>
      <c r="J788" s="32">
        <v>1654</v>
      </c>
      <c r="K788" s="40">
        <v>2200</v>
      </c>
      <c r="L788" s="40">
        <v>6132</v>
      </c>
      <c r="M788" s="451">
        <f t="shared" si="153"/>
        <v>-2198</v>
      </c>
      <c r="N788" s="417">
        <v>2</v>
      </c>
    </row>
    <row r="789" spans="1:14" outlineLevel="6" x14ac:dyDescent="0.4">
      <c r="A789" s="70">
        <v>10</v>
      </c>
      <c r="B789" s="3">
        <v>700</v>
      </c>
      <c r="C789" s="3">
        <v>0</v>
      </c>
      <c r="D789" s="3">
        <v>2600</v>
      </c>
      <c r="E789" s="3">
        <v>250</v>
      </c>
      <c r="F789" s="3">
        <v>613</v>
      </c>
      <c r="G789" s="3">
        <v>0</v>
      </c>
      <c r="H789" s="31" t="s">
        <v>1134</v>
      </c>
      <c r="I789" s="32">
        <v>6146</v>
      </c>
      <c r="J789" s="32">
        <v>5903</v>
      </c>
      <c r="K789" s="40">
        <v>5879</v>
      </c>
      <c r="L789" s="40">
        <v>6132</v>
      </c>
      <c r="M789" s="451">
        <f t="shared" si="153"/>
        <v>290</v>
      </c>
      <c r="N789" s="417">
        <v>6169</v>
      </c>
    </row>
    <row r="790" spans="1:14" outlineLevel="6" x14ac:dyDescent="0.4">
      <c r="A790" s="70">
        <v>10</v>
      </c>
      <c r="B790" s="3">
        <v>700</v>
      </c>
      <c r="C790" s="3">
        <v>0</v>
      </c>
      <c r="D790" s="3">
        <v>2600</v>
      </c>
      <c r="E790" s="3" t="s">
        <v>2287</v>
      </c>
      <c r="F790" s="3" t="s">
        <v>1118</v>
      </c>
      <c r="G790" s="3" t="s">
        <v>2285</v>
      </c>
      <c r="H790" s="31" t="s">
        <v>2439</v>
      </c>
      <c r="I790" s="32">
        <v>0</v>
      </c>
      <c r="J790" s="32">
        <v>1220</v>
      </c>
      <c r="K790" s="40">
        <v>0</v>
      </c>
      <c r="L790" s="40">
        <v>0</v>
      </c>
      <c r="M790" s="451">
        <f t="shared" ref="M790:M792" si="154">N790-K790</f>
        <v>1398</v>
      </c>
      <c r="N790" s="417">
        <v>1398</v>
      </c>
    </row>
    <row r="791" spans="1:14" outlineLevel="6" x14ac:dyDescent="0.4">
      <c r="A791" s="70">
        <v>10</v>
      </c>
      <c r="B791" s="3">
        <v>700</v>
      </c>
      <c r="C791" s="3">
        <v>0</v>
      </c>
      <c r="D791" s="3">
        <v>2600</v>
      </c>
      <c r="E791" s="3" t="s">
        <v>2287</v>
      </c>
      <c r="F791" s="3">
        <v>608</v>
      </c>
      <c r="G791" s="3" t="s">
        <v>2285</v>
      </c>
      <c r="H791" s="31" t="s">
        <v>2440</v>
      </c>
      <c r="I791" s="32">
        <v>0</v>
      </c>
      <c r="J791" s="32">
        <v>702</v>
      </c>
      <c r="K791" s="40">
        <v>0</v>
      </c>
      <c r="L791" s="40">
        <v>0</v>
      </c>
      <c r="M791" s="451">
        <f t="shared" si="154"/>
        <v>1020</v>
      </c>
      <c r="N791" s="417">
        <v>1020</v>
      </c>
    </row>
    <row r="792" spans="1:14" outlineLevel="6" x14ac:dyDescent="0.4">
      <c r="A792" s="70">
        <v>10</v>
      </c>
      <c r="B792" s="3">
        <v>700</v>
      </c>
      <c r="C792" s="3">
        <v>0</v>
      </c>
      <c r="D792" s="3">
        <v>2600</v>
      </c>
      <c r="E792" s="3" t="s">
        <v>2287</v>
      </c>
      <c r="F792" s="3">
        <v>613</v>
      </c>
      <c r="G792" s="3" t="s">
        <v>2285</v>
      </c>
      <c r="H792" s="31" t="s">
        <v>2441</v>
      </c>
      <c r="I792" s="32">
        <v>0</v>
      </c>
      <c r="J792" s="32">
        <v>946</v>
      </c>
      <c r="K792" s="40">
        <v>0</v>
      </c>
      <c r="L792" s="40">
        <v>0</v>
      </c>
      <c r="M792" s="451">
        <f t="shared" si="154"/>
        <v>1082</v>
      </c>
      <c r="N792" s="417">
        <v>1082</v>
      </c>
    </row>
    <row r="793" spans="1:14" outlineLevel="6" x14ac:dyDescent="0.4">
      <c r="A793" s="70">
        <v>10</v>
      </c>
      <c r="B793" s="3">
        <v>700</v>
      </c>
      <c r="C793" s="3">
        <v>0</v>
      </c>
      <c r="D793" s="3">
        <v>2600</v>
      </c>
      <c r="E793" s="3">
        <v>340</v>
      </c>
      <c r="F793" s="3">
        <v>0</v>
      </c>
      <c r="G793" s="3">
        <v>0</v>
      </c>
      <c r="H793" s="31" t="s">
        <v>372</v>
      </c>
      <c r="I793" s="32">
        <v>20388</v>
      </c>
      <c r="J793" s="32">
        <v>17178</v>
      </c>
      <c r="K793" s="40">
        <v>32000</v>
      </c>
      <c r="L793" s="40">
        <v>25000</v>
      </c>
      <c r="M793" s="451">
        <f t="shared" si="153"/>
        <v>-7000</v>
      </c>
      <c r="N793" s="417">
        <v>25000</v>
      </c>
    </row>
    <row r="794" spans="1:14" outlineLevel="6" x14ac:dyDescent="0.4">
      <c r="A794" s="70">
        <v>10</v>
      </c>
      <c r="B794" s="3">
        <v>700</v>
      </c>
      <c r="C794" s="3">
        <v>0</v>
      </c>
      <c r="D794" s="3">
        <v>2600</v>
      </c>
      <c r="E794" s="3">
        <v>340</v>
      </c>
      <c r="F794" s="3">
        <v>0</v>
      </c>
      <c r="G794" s="3" t="s">
        <v>1323</v>
      </c>
      <c r="H794" s="31" t="s">
        <v>1383</v>
      </c>
      <c r="I794" s="32">
        <v>0</v>
      </c>
      <c r="J794" s="32">
        <v>3000</v>
      </c>
      <c r="K794" s="40">
        <v>3000</v>
      </c>
      <c r="L794" s="40">
        <v>0</v>
      </c>
      <c r="M794" s="451">
        <f t="shared" si="153"/>
        <v>-3000</v>
      </c>
      <c r="N794" s="417">
        <v>0</v>
      </c>
    </row>
    <row r="795" spans="1:14" outlineLevel="6" x14ac:dyDescent="0.4">
      <c r="A795" s="70">
        <v>10</v>
      </c>
      <c r="B795" s="3">
        <v>700</v>
      </c>
      <c r="C795" s="3">
        <v>0</v>
      </c>
      <c r="D795" s="3">
        <v>2600</v>
      </c>
      <c r="E795" s="3">
        <v>400</v>
      </c>
      <c r="F795" s="3">
        <v>0</v>
      </c>
      <c r="G795" s="3">
        <v>0</v>
      </c>
      <c r="H795" s="31" t="s">
        <v>373</v>
      </c>
      <c r="I795" s="32">
        <v>137</v>
      </c>
      <c r="J795" s="32">
        <v>3845</v>
      </c>
      <c r="K795" s="40">
        <v>10000</v>
      </c>
      <c r="L795" s="40">
        <v>7000</v>
      </c>
      <c r="M795" s="451">
        <f t="shared" si="153"/>
        <v>-3000</v>
      </c>
      <c r="N795" s="417">
        <v>7000</v>
      </c>
    </row>
    <row r="796" spans="1:14" outlineLevel="6" x14ac:dyDescent="0.4">
      <c r="A796" s="70">
        <v>10</v>
      </c>
      <c r="B796" s="3">
        <v>700</v>
      </c>
      <c r="C796" s="3">
        <v>0</v>
      </c>
      <c r="D796" s="3">
        <v>2600</v>
      </c>
      <c r="E796" s="3">
        <v>421</v>
      </c>
      <c r="F796" s="3">
        <v>0</v>
      </c>
      <c r="G796" s="3">
        <v>0</v>
      </c>
      <c r="H796" s="31" t="s">
        <v>555</v>
      </c>
      <c r="I796" s="32">
        <v>1719</v>
      </c>
      <c r="J796" s="32">
        <v>5613</v>
      </c>
      <c r="K796" s="40">
        <v>6000</v>
      </c>
      <c r="L796" s="40">
        <v>6000</v>
      </c>
      <c r="M796" s="451">
        <f t="shared" si="153"/>
        <v>0</v>
      </c>
      <c r="N796" s="417">
        <v>6000</v>
      </c>
    </row>
    <row r="797" spans="1:14" outlineLevel="6" x14ac:dyDescent="0.4">
      <c r="A797" s="70" t="s">
        <v>40</v>
      </c>
      <c r="B797" s="3" t="s">
        <v>524</v>
      </c>
      <c r="C797" s="3" t="s">
        <v>448</v>
      </c>
      <c r="D797" s="3" t="s">
        <v>438</v>
      </c>
      <c r="E797" s="3" t="s">
        <v>553</v>
      </c>
      <c r="F797" s="3" t="s">
        <v>448</v>
      </c>
      <c r="G797" s="3" t="s">
        <v>448</v>
      </c>
      <c r="H797" s="31" t="s">
        <v>554</v>
      </c>
      <c r="I797" s="32">
        <v>77</v>
      </c>
      <c r="J797" s="32">
        <v>0</v>
      </c>
      <c r="K797" s="40">
        <v>100</v>
      </c>
      <c r="L797" s="40">
        <v>100</v>
      </c>
      <c r="M797" s="451">
        <f t="shared" si="153"/>
        <v>0</v>
      </c>
      <c r="N797" s="417">
        <v>100</v>
      </c>
    </row>
    <row r="798" spans="1:14" outlineLevel="6" x14ac:dyDescent="0.4">
      <c r="A798" s="70" t="s">
        <v>40</v>
      </c>
      <c r="B798" s="3" t="s">
        <v>524</v>
      </c>
      <c r="C798" s="3" t="s">
        <v>448</v>
      </c>
      <c r="D798" s="3" t="s">
        <v>438</v>
      </c>
      <c r="E798" s="3" t="s">
        <v>531</v>
      </c>
      <c r="F798" s="3" t="s">
        <v>448</v>
      </c>
      <c r="G798" s="3" t="s">
        <v>448</v>
      </c>
      <c r="H798" s="31" t="s">
        <v>1373</v>
      </c>
      <c r="I798" s="32">
        <v>0</v>
      </c>
      <c r="J798" s="32">
        <v>185</v>
      </c>
      <c r="K798" s="40">
        <v>250</v>
      </c>
      <c r="L798" s="40">
        <v>250</v>
      </c>
      <c r="M798" s="451">
        <f t="shared" si="153"/>
        <v>0</v>
      </c>
      <c r="N798" s="417">
        <v>250</v>
      </c>
    </row>
    <row r="799" spans="1:14" outlineLevel="6" x14ac:dyDescent="0.4">
      <c r="A799" s="70">
        <v>10</v>
      </c>
      <c r="B799" s="3">
        <v>700</v>
      </c>
      <c r="C799" s="3">
        <v>0</v>
      </c>
      <c r="D799" s="3">
        <v>2600</v>
      </c>
      <c r="E799" s="3">
        <v>600</v>
      </c>
      <c r="F799" s="3">
        <v>0</v>
      </c>
      <c r="G799" s="3">
        <v>0</v>
      </c>
      <c r="H799" s="31" t="s">
        <v>374</v>
      </c>
      <c r="I799" s="32">
        <v>17431</v>
      </c>
      <c r="J799" s="32">
        <v>11653</v>
      </c>
      <c r="K799" s="40">
        <v>18500</v>
      </c>
      <c r="L799" s="40">
        <v>18500</v>
      </c>
      <c r="M799" s="451">
        <f t="shared" si="153"/>
        <v>0</v>
      </c>
      <c r="N799" s="417">
        <v>18500</v>
      </c>
    </row>
    <row r="800" spans="1:14" outlineLevel="6" x14ac:dyDescent="0.4">
      <c r="A800" s="70">
        <v>10</v>
      </c>
      <c r="B800" s="3">
        <v>700</v>
      </c>
      <c r="C800" s="3">
        <v>0</v>
      </c>
      <c r="D800" s="3">
        <v>2600</v>
      </c>
      <c r="E800" s="3">
        <v>622</v>
      </c>
      <c r="F800" s="3">
        <v>0</v>
      </c>
      <c r="G800" s="3">
        <v>0</v>
      </c>
      <c r="H800" s="31" t="s">
        <v>375</v>
      </c>
      <c r="I800" s="32">
        <v>23732</v>
      </c>
      <c r="J800" s="32">
        <v>27974</v>
      </c>
      <c r="K800" s="40">
        <v>27000</v>
      </c>
      <c r="L800" s="40">
        <v>27000</v>
      </c>
      <c r="M800" s="451">
        <f t="shared" si="153"/>
        <v>0</v>
      </c>
      <c r="N800" s="417">
        <v>27000</v>
      </c>
    </row>
    <row r="801" spans="1:15" outlineLevel="6" x14ac:dyDescent="0.4">
      <c r="A801" s="70">
        <v>10</v>
      </c>
      <c r="B801" s="3">
        <v>700</v>
      </c>
      <c r="C801" s="3">
        <v>0</v>
      </c>
      <c r="D801" s="3">
        <v>2600</v>
      </c>
      <c r="E801" s="3">
        <v>623</v>
      </c>
      <c r="F801" s="3">
        <v>0</v>
      </c>
      <c r="G801" s="3">
        <v>0</v>
      </c>
      <c r="H801" s="31" t="s">
        <v>376</v>
      </c>
      <c r="I801" s="32">
        <v>30662</v>
      </c>
      <c r="J801" s="32">
        <v>42112</v>
      </c>
      <c r="K801" s="40">
        <v>50000</v>
      </c>
      <c r="L801" s="40">
        <v>50000</v>
      </c>
      <c r="M801" s="451">
        <f t="shared" si="153"/>
        <v>0</v>
      </c>
      <c r="N801" s="417">
        <v>50000</v>
      </c>
    </row>
    <row r="802" spans="1:15" outlineLevel="6" x14ac:dyDescent="0.4">
      <c r="A802" s="70">
        <v>10</v>
      </c>
      <c r="B802" s="3">
        <v>700</v>
      </c>
      <c r="C802" s="3">
        <v>0</v>
      </c>
      <c r="D802" s="3">
        <v>2600</v>
      </c>
      <c r="E802" s="3">
        <v>735</v>
      </c>
      <c r="F802" s="3">
        <v>0</v>
      </c>
      <c r="G802" s="3">
        <v>0</v>
      </c>
      <c r="H802" s="31" t="s">
        <v>377</v>
      </c>
      <c r="I802" s="32">
        <v>1230</v>
      </c>
      <c r="J802" s="32">
        <v>399</v>
      </c>
      <c r="K802" s="40">
        <v>3000</v>
      </c>
      <c r="L802" s="40">
        <v>4000</v>
      </c>
      <c r="M802" s="451">
        <f t="shared" si="153"/>
        <v>1000</v>
      </c>
      <c r="N802" s="417">
        <v>4000</v>
      </c>
    </row>
    <row r="803" spans="1:15" outlineLevel="6" x14ac:dyDescent="0.4">
      <c r="A803" s="70" t="s">
        <v>40</v>
      </c>
      <c r="B803" s="3" t="s">
        <v>568</v>
      </c>
      <c r="C803" s="3" t="s">
        <v>448</v>
      </c>
      <c r="D803" s="3" t="s">
        <v>438</v>
      </c>
      <c r="E803" s="3" t="s">
        <v>600</v>
      </c>
      <c r="F803" s="3" t="s">
        <v>448</v>
      </c>
      <c r="G803" s="3" t="s">
        <v>601</v>
      </c>
      <c r="H803" s="31" t="s">
        <v>628</v>
      </c>
      <c r="I803" s="32">
        <v>6000</v>
      </c>
      <c r="J803" s="32">
        <v>0</v>
      </c>
      <c r="K803" s="40">
        <v>0</v>
      </c>
      <c r="L803" s="40">
        <v>0</v>
      </c>
      <c r="M803" s="451">
        <f t="shared" si="153"/>
        <v>0</v>
      </c>
      <c r="N803" s="417">
        <v>0</v>
      </c>
    </row>
    <row r="804" spans="1:15" outlineLevel="6" x14ac:dyDescent="0.4">
      <c r="A804" s="70" t="s">
        <v>40</v>
      </c>
      <c r="B804" s="3" t="s">
        <v>568</v>
      </c>
      <c r="C804" s="3" t="s">
        <v>448</v>
      </c>
      <c r="D804" s="3" t="s">
        <v>438</v>
      </c>
      <c r="E804" s="3" t="s">
        <v>600</v>
      </c>
      <c r="F804" s="3" t="s">
        <v>448</v>
      </c>
      <c r="G804" s="3" t="s">
        <v>618</v>
      </c>
      <c r="H804" s="31" t="s">
        <v>627</v>
      </c>
      <c r="I804" s="32">
        <v>1703</v>
      </c>
      <c r="J804" s="32">
        <v>2297</v>
      </c>
      <c r="K804" s="147">
        <v>2297</v>
      </c>
      <c r="L804" s="40">
        <v>0</v>
      </c>
      <c r="M804" s="451">
        <f t="shared" si="153"/>
        <v>-2297</v>
      </c>
      <c r="N804" s="418">
        <v>0</v>
      </c>
    </row>
    <row r="805" spans="1:15" ht="27" outlineLevel="6" thickBot="1" x14ac:dyDescent="0.45">
      <c r="A805" s="70" t="s">
        <v>40</v>
      </c>
      <c r="B805" s="3" t="s">
        <v>568</v>
      </c>
      <c r="C805" s="3" t="s">
        <v>448</v>
      </c>
      <c r="D805" s="3" t="s">
        <v>438</v>
      </c>
      <c r="E805" s="3" t="s">
        <v>600</v>
      </c>
      <c r="F805" s="3" t="s">
        <v>448</v>
      </c>
      <c r="G805" s="3" t="s">
        <v>1323</v>
      </c>
      <c r="H805" s="31" t="s">
        <v>1382</v>
      </c>
      <c r="I805" s="32">
        <v>0</v>
      </c>
      <c r="J805" s="32">
        <v>1000</v>
      </c>
      <c r="K805" s="147">
        <v>1000</v>
      </c>
      <c r="L805" s="40">
        <v>0</v>
      </c>
      <c r="M805" s="451">
        <f t="shared" si="153"/>
        <v>-1000</v>
      </c>
      <c r="N805" s="418">
        <v>0</v>
      </c>
    </row>
    <row r="806" spans="1:15" ht="27" outlineLevel="5" thickBot="1" x14ac:dyDescent="0.45">
      <c r="A806" s="76"/>
      <c r="B806" s="9"/>
      <c r="C806" s="9"/>
      <c r="D806" s="9" t="s">
        <v>378</v>
      </c>
      <c r="E806" s="9"/>
      <c r="F806" s="9"/>
      <c r="G806" s="9"/>
      <c r="H806" s="44"/>
      <c r="I806" s="42">
        <f>SUBTOTAL(9,I772:I805)</f>
        <v>243733</v>
      </c>
      <c r="J806" s="42">
        <f>SUBTOTAL(9,J772:J805)</f>
        <v>273379</v>
      </c>
      <c r="K806" s="43">
        <f>SUBTOTAL(9,K772:K805)</f>
        <v>306182</v>
      </c>
      <c r="L806" s="43">
        <f>SUBTOTAL(9,L772:L805)</f>
        <v>298877</v>
      </c>
      <c r="M806" s="453">
        <f>N806-K806</f>
        <v>-9123</v>
      </c>
      <c r="N806" s="237">
        <f>SUBTOTAL(9,N772:N805)</f>
        <v>297059</v>
      </c>
    </row>
    <row r="807" spans="1:15" outlineLevel="6" x14ac:dyDescent="0.4">
      <c r="A807" s="70">
        <v>10</v>
      </c>
      <c r="B807" s="3">
        <v>700</v>
      </c>
      <c r="C807" s="3">
        <v>0</v>
      </c>
      <c r="D807" s="3">
        <v>2700</v>
      </c>
      <c r="E807" s="3">
        <v>110</v>
      </c>
      <c r="F807" s="3">
        <v>602</v>
      </c>
      <c r="G807" s="3">
        <v>0</v>
      </c>
      <c r="H807" s="31" t="s">
        <v>379</v>
      </c>
      <c r="I807" s="32">
        <v>62322</v>
      </c>
      <c r="J807" s="32">
        <v>50151</v>
      </c>
      <c r="K807" s="147">
        <f>42500+400</f>
        <v>42900</v>
      </c>
      <c r="L807" s="394">
        <v>51300</v>
      </c>
      <c r="M807" s="451">
        <f>N807-K807</f>
        <v>18300</v>
      </c>
      <c r="N807" s="418">
        <f>19000+16600+12400+13200</f>
        <v>61200</v>
      </c>
      <c r="O807" s="29" t="s">
        <v>2445</v>
      </c>
    </row>
    <row r="808" spans="1:15" outlineLevel="6" x14ac:dyDescent="0.4">
      <c r="A808" s="70">
        <v>10</v>
      </c>
      <c r="B808" s="3">
        <v>700</v>
      </c>
      <c r="C808" s="3">
        <v>0</v>
      </c>
      <c r="D808" s="3">
        <v>2700</v>
      </c>
      <c r="E808" s="3">
        <v>110</v>
      </c>
      <c r="F808" s="3">
        <v>613</v>
      </c>
      <c r="G808" s="3">
        <v>0</v>
      </c>
      <c r="H808" s="31" t="s">
        <v>1142</v>
      </c>
      <c r="I808" s="32">
        <v>40415</v>
      </c>
      <c r="J808" s="32">
        <v>51142</v>
      </c>
      <c r="K808" s="147">
        <f>45760+200</f>
        <v>45960</v>
      </c>
      <c r="L808" s="40">
        <v>46601</v>
      </c>
      <c r="M808" s="451">
        <f t="shared" ref="M808:M832" si="155">N808-K808</f>
        <v>641</v>
      </c>
      <c r="N808" s="418">
        <v>46601</v>
      </c>
      <c r="O808" s="29" t="s">
        <v>1467</v>
      </c>
    </row>
    <row r="809" spans="1:15" outlineLevel="6" x14ac:dyDescent="0.4">
      <c r="A809" s="70">
        <v>10</v>
      </c>
      <c r="B809" s="3">
        <v>700</v>
      </c>
      <c r="C809" s="3">
        <v>0</v>
      </c>
      <c r="D809" s="3">
        <v>2700</v>
      </c>
      <c r="E809" s="3" t="s">
        <v>1275</v>
      </c>
      <c r="F809" s="3" t="s">
        <v>1283</v>
      </c>
      <c r="G809" s="3" t="s">
        <v>1282</v>
      </c>
      <c r="H809" s="31" t="s">
        <v>1284</v>
      </c>
      <c r="I809" s="32">
        <v>0</v>
      </c>
      <c r="J809" s="32">
        <v>1132</v>
      </c>
      <c r="K809" s="147">
        <v>5168</v>
      </c>
      <c r="L809" s="40">
        <v>5158</v>
      </c>
      <c r="M809" s="451">
        <f t="shared" si="155"/>
        <v>-3346</v>
      </c>
      <c r="N809" s="418">
        <v>1822</v>
      </c>
    </row>
    <row r="810" spans="1:15" outlineLevel="6" x14ac:dyDescent="0.4">
      <c r="A810" s="70">
        <v>10</v>
      </c>
      <c r="B810" s="3">
        <v>700</v>
      </c>
      <c r="C810" s="3">
        <v>0</v>
      </c>
      <c r="D810" s="3">
        <v>2700</v>
      </c>
      <c r="E810" s="3">
        <v>210</v>
      </c>
      <c r="F810" s="3">
        <v>602</v>
      </c>
      <c r="G810" s="3">
        <v>0</v>
      </c>
      <c r="H810" s="31" t="s">
        <v>380</v>
      </c>
      <c r="I810" s="32">
        <v>110</v>
      </c>
      <c r="J810" s="32">
        <v>111</v>
      </c>
      <c r="K810" s="40">
        <v>131</v>
      </c>
      <c r="L810" s="394">
        <v>132</v>
      </c>
      <c r="M810" s="451">
        <f t="shared" si="155"/>
        <v>98</v>
      </c>
      <c r="N810" s="417">
        <v>229</v>
      </c>
    </row>
    <row r="811" spans="1:15" outlineLevel="6" x14ac:dyDescent="0.4">
      <c r="A811" s="70">
        <v>10</v>
      </c>
      <c r="B811" s="3">
        <v>700</v>
      </c>
      <c r="C811" s="3">
        <v>0</v>
      </c>
      <c r="D811" s="3">
        <v>2700</v>
      </c>
      <c r="E811" s="3">
        <v>210</v>
      </c>
      <c r="F811" s="3">
        <v>613</v>
      </c>
      <c r="G811" s="3">
        <v>0</v>
      </c>
      <c r="H811" s="31" t="s">
        <v>1143</v>
      </c>
      <c r="I811" s="32">
        <v>53</v>
      </c>
      <c r="J811" s="32">
        <v>65</v>
      </c>
      <c r="K811" s="40">
        <v>66</v>
      </c>
      <c r="L811" s="40">
        <v>66</v>
      </c>
      <c r="M811" s="451">
        <f t="shared" si="155"/>
        <v>0</v>
      </c>
      <c r="N811" s="417">
        <v>66</v>
      </c>
    </row>
    <row r="812" spans="1:15" outlineLevel="6" x14ac:dyDescent="0.4">
      <c r="A812" s="70">
        <v>10</v>
      </c>
      <c r="B812" s="3">
        <v>700</v>
      </c>
      <c r="C812" s="3">
        <v>0</v>
      </c>
      <c r="D812" s="3">
        <v>2700</v>
      </c>
      <c r="E812" s="3">
        <v>215</v>
      </c>
      <c r="F812" s="3">
        <v>602</v>
      </c>
      <c r="G812" s="3">
        <v>0</v>
      </c>
      <c r="H812" s="31" t="s">
        <v>1141</v>
      </c>
      <c r="I812" s="32">
        <v>187</v>
      </c>
      <c r="J812" s="32">
        <v>148</v>
      </c>
      <c r="K812" s="40">
        <f>128+1</f>
        <v>129</v>
      </c>
      <c r="L812" s="394">
        <v>154</v>
      </c>
      <c r="M812" s="451">
        <f t="shared" si="155"/>
        <v>55</v>
      </c>
      <c r="N812" s="417">
        <v>184</v>
      </c>
    </row>
    <row r="813" spans="1:15" outlineLevel="6" x14ac:dyDescent="0.4">
      <c r="A813" s="70">
        <v>10</v>
      </c>
      <c r="B813" s="3">
        <v>700</v>
      </c>
      <c r="C813" s="3">
        <v>0</v>
      </c>
      <c r="D813" s="3">
        <v>2700</v>
      </c>
      <c r="E813" s="3">
        <v>215</v>
      </c>
      <c r="F813" s="3">
        <v>613</v>
      </c>
      <c r="G813" s="3">
        <v>0</v>
      </c>
      <c r="H813" s="31" t="s">
        <v>1150</v>
      </c>
      <c r="I813" s="32">
        <v>120</v>
      </c>
      <c r="J813" s="32">
        <v>139</v>
      </c>
      <c r="K813" s="40">
        <f>138+1</f>
        <v>139</v>
      </c>
      <c r="L813" s="40">
        <v>140</v>
      </c>
      <c r="M813" s="451">
        <f t="shared" si="155"/>
        <v>1</v>
      </c>
      <c r="N813" s="417">
        <v>140</v>
      </c>
    </row>
    <row r="814" spans="1:15" outlineLevel="6" x14ac:dyDescent="0.4">
      <c r="A814" s="70">
        <v>10</v>
      </c>
      <c r="B814" s="3">
        <v>700</v>
      </c>
      <c r="C814" s="3">
        <v>0</v>
      </c>
      <c r="D814" s="3">
        <v>2700</v>
      </c>
      <c r="E814" s="3">
        <v>215</v>
      </c>
      <c r="F814" s="3" t="s">
        <v>1283</v>
      </c>
      <c r="G814" s="3" t="s">
        <v>1282</v>
      </c>
      <c r="H814" s="31" t="s">
        <v>1485</v>
      </c>
      <c r="I814" s="32">
        <v>0</v>
      </c>
      <c r="J814" s="32">
        <v>3</v>
      </c>
      <c r="K814" s="40">
        <v>15</v>
      </c>
      <c r="L814" s="40">
        <v>15</v>
      </c>
      <c r="M814" s="451">
        <f t="shared" si="155"/>
        <v>-10</v>
      </c>
      <c r="N814" s="417">
        <v>5</v>
      </c>
    </row>
    <row r="815" spans="1:15" outlineLevel="6" x14ac:dyDescent="0.4">
      <c r="A815" s="70">
        <v>10</v>
      </c>
      <c r="B815" s="3">
        <v>700</v>
      </c>
      <c r="C815" s="3">
        <v>0</v>
      </c>
      <c r="D815" s="3">
        <v>2700</v>
      </c>
      <c r="E815" s="3">
        <v>221</v>
      </c>
      <c r="F815" s="3">
        <v>602</v>
      </c>
      <c r="G815" s="3">
        <v>0</v>
      </c>
      <c r="H815" s="31" t="s">
        <v>1144</v>
      </c>
      <c r="I815" s="32">
        <v>902</v>
      </c>
      <c r="J815" s="32">
        <v>717</v>
      </c>
      <c r="K815" s="40">
        <f>617+6</f>
        <v>623</v>
      </c>
      <c r="L815" s="394">
        <v>744</v>
      </c>
      <c r="M815" s="451">
        <f t="shared" si="155"/>
        <v>265</v>
      </c>
      <c r="N815" s="417">
        <v>888</v>
      </c>
    </row>
    <row r="816" spans="1:15" outlineLevel="6" x14ac:dyDescent="0.4">
      <c r="A816" s="70">
        <v>10</v>
      </c>
      <c r="B816" s="3">
        <v>700</v>
      </c>
      <c r="C816" s="3">
        <v>0</v>
      </c>
      <c r="D816" s="3">
        <v>2700</v>
      </c>
      <c r="E816" s="3">
        <v>221</v>
      </c>
      <c r="F816" s="3">
        <v>613</v>
      </c>
      <c r="G816" s="3">
        <v>0</v>
      </c>
      <c r="H816" s="31" t="s">
        <v>1145</v>
      </c>
      <c r="I816" s="32">
        <v>577</v>
      </c>
      <c r="J816" s="32">
        <v>672</v>
      </c>
      <c r="K816" s="40">
        <f>664+3</f>
        <v>667</v>
      </c>
      <c r="L816" s="40">
        <v>676</v>
      </c>
      <c r="M816" s="451">
        <f t="shared" si="155"/>
        <v>9</v>
      </c>
      <c r="N816" s="417">
        <v>676</v>
      </c>
    </row>
    <row r="817" spans="1:14" outlineLevel="6" x14ac:dyDescent="0.4">
      <c r="A817" s="70">
        <v>10</v>
      </c>
      <c r="B817" s="3">
        <v>700</v>
      </c>
      <c r="C817" s="3">
        <v>0</v>
      </c>
      <c r="D817" s="3">
        <v>2700</v>
      </c>
      <c r="E817" s="3">
        <v>221</v>
      </c>
      <c r="F817" s="3" t="s">
        <v>1283</v>
      </c>
      <c r="G817" s="3" t="s">
        <v>1282</v>
      </c>
      <c r="H817" s="31" t="s">
        <v>1285</v>
      </c>
      <c r="I817" s="32">
        <v>0</v>
      </c>
      <c r="J817" s="32">
        <v>16</v>
      </c>
      <c r="K817" s="40">
        <v>75</v>
      </c>
      <c r="L817" s="40">
        <v>75</v>
      </c>
      <c r="M817" s="451">
        <f t="shared" si="155"/>
        <v>-48</v>
      </c>
      <c r="N817" s="417">
        <v>27</v>
      </c>
    </row>
    <row r="818" spans="1:14" outlineLevel="6" x14ac:dyDescent="0.4">
      <c r="A818" s="70">
        <v>10</v>
      </c>
      <c r="B818" s="3">
        <v>700</v>
      </c>
      <c r="C818" s="3">
        <v>0</v>
      </c>
      <c r="D818" s="3">
        <v>2700</v>
      </c>
      <c r="E818" s="3">
        <v>230</v>
      </c>
      <c r="F818" s="3">
        <v>602</v>
      </c>
      <c r="G818" s="3">
        <v>0</v>
      </c>
      <c r="H818" s="31" t="s">
        <v>1146</v>
      </c>
      <c r="I818" s="32">
        <v>12095</v>
      </c>
      <c r="J818" s="32">
        <v>9848</v>
      </c>
      <c r="K818" s="40">
        <v>8564</v>
      </c>
      <c r="L818" s="40">
        <v>10466</v>
      </c>
      <c r="M818" s="451">
        <f t="shared" si="155"/>
        <v>3921</v>
      </c>
      <c r="N818" s="417">
        <v>12485</v>
      </c>
    </row>
    <row r="819" spans="1:14" outlineLevel="6" x14ac:dyDescent="0.4">
      <c r="A819" s="70">
        <v>10</v>
      </c>
      <c r="B819" s="3">
        <v>700</v>
      </c>
      <c r="C819" s="3">
        <v>0</v>
      </c>
      <c r="D819" s="3">
        <v>2700</v>
      </c>
      <c r="E819" s="3">
        <v>230</v>
      </c>
      <c r="F819" s="3">
        <v>613</v>
      </c>
      <c r="G819" s="3">
        <v>0</v>
      </c>
      <c r="H819" s="31" t="s">
        <v>1147</v>
      </c>
      <c r="I819" s="32">
        <v>7849</v>
      </c>
      <c r="J819" s="32">
        <v>9300</v>
      </c>
      <c r="K819" s="40">
        <v>9221</v>
      </c>
      <c r="L819" s="40">
        <v>9507</v>
      </c>
      <c r="M819" s="451">
        <f t="shared" si="155"/>
        <v>286</v>
      </c>
      <c r="N819" s="417">
        <v>9507</v>
      </c>
    </row>
    <row r="820" spans="1:14" outlineLevel="6" x14ac:dyDescent="0.4">
      <c r="A820" s="70">
        <v>10</v>
      </c>
      <c r="B820" s="3">
        <v>700</v>
      </c>
      <c r="C820" s="3">
        <v>0</v>
      </c>
      <c r="D820" s="3">
        <v>2700</v>
      </c>
      <c r="E820" s="3">
        <v>230</v>
      </c>
      <c r="F820" s="3" t="s">
        <v>1283</v>
      </c>
      <c r="G820" s="3" t="s">
        <v>1282</v>
      </c>
      <c r="H820" s="31" t="s">
        <v>1286</v>
      </c>
      <c r="I820" s="32">
        <v>0</v>
      </c>
      <c r="J820" s="32">
        <v>226</v>
      </c>
      <c r="K820" s="40">
        <v>1042</v>
      </c>
      <c r="L820" s="40">
        <v>1052</v>
      </c>
      <c r="M820" s="451">
        <f t="shared" si="155"/>
        <v>-670</v>
      </c>
      <c r="N820" s="417">
        <v>372</v>
      </c>
    </row>
    <row r="821" spans="1:14" outlineLevel="6" x14ac:dyDescent="0.4">
      <c r="A821" s="70">
        <v>10</v>
      </c>
      <c r="B821" s="3">
        <v>700</v>
      </c>
      <c r="C821" s="3">
        <v>0</v>
      </c>
      <c r="D821" s="3">
        <v>2700</v>
      </c>
      <c r="E821" s="3">
        <v>250</v>
      </c>
      <c r="F821" s="3">
        <v>602</v>
      </c>
      <c r="G821" s="3">
        <v>0</v>
      </c>
      <c r="H821" s="31" t="s">
        <v>1148</v>
      </c>
      <c r="I821" s="32">
        <v>9876</v>
      </c>
      <c r="J821" s="32">
        <v>10025</v>
      </c>
      <c r="K821" s="40">
        <v>11758</v>
      </c>
      <c r="L821" s="40">
        <v>12264</v>
      </c>
      <c r="M821" s="451">
        <f t="shared" si="155"/>
        <v>4211</v>
      </c>
      <c r="N821" s="417">
        <v>15969</v>
      </c>
    </row>
    <row r="822" spans="1:14" outlineLevel="6" x14ac:dyDescent="0.4">
      <c r="A822" s="70">
        <v>10</v>
      </c>
      <c r="B822" s="3">
        <v>700</v>
      </c>
      <c r="C822" s="3">
        <v>0</v>
      </c>
      <c r="D822" s="3">
        <v>2700</v>
      </c>
      <c r="E822" s="3">
        <v>250</v>
      </c>
      <c r="F822" s="3">
        <v>613</v>
      </c>
      <c r="G822" s="3">
        <v>0</v>
      </c>
      <c r="H822" s="31" t="s">
        <v>1149</v>
      </c>
      <c r="I822" s="32">
        <v>4497</v>
      </c>
      <c r="J822" s="32">
        <v>5903</v>
      </c>
      <c r="K822" s="40">
        <v>5879</v>
      </c>
      <c r="L822" s="40">
        <v>6132</v>
      </c>
      <c r="M822" s="451">
        <f t="shared" si="155"/>
        <v>253</v>
      </c>
      <c r="N822" s="417">
        <v>6132</v>
      </c>
    </row>
    <row r="823" spans="1:14" outlineLevel="6" x14ac:dyDescent="0.4">
      <c r="A823" s="70">
        <v>10</v>
      </c>
      <c r="B823" s="3">
        <v>700</v>
      </c>
      <c r="C823" s="3">
        <v>0</v>
      </c>
      <c r="D823" s="3">
        <v>2700</v>
      </c>
      <c r="E823" s="3" t="s">
        <v>2287</v>
      </c>
      <c r="F823" s="3">
        <v>602</v>
      </c>
      <c r="G823" s="3" t="s">
        <v>2285</v>
      </c>
      <c r="H823" s="31" t="s">
        <v>2442</v>
      </c>
      <c r="I823" s="32">
        <v>0</v>
      </c>
      <c r="J823" s="32">
        <v>1641</v>
      </c>
      <c r="K823" s="40">
        <v>0</v>
      </c>
      <c r="L823" s="40">
        <v>0</v>
      </c>
      <c r="M823" s="451">
        <f>N823-K823</f>
        <v>1836</v>
      </c>
      <c r="N823" s="417">
        <v>1836</v>
      </c>
    </row>
    <row r="824" spans="1:14" outlineLevel="6" x14ac:dyDescent="0.4">
      <c r="A824" s="70">
        <v>10</v>
      </c>
      <c r="B824" s="3">
        <v>700</v>
      </c>
      <c r="C824" s="3">
        <v>0</v>
      </c>
      <c r="D824" s="3">
        <v>2700</v>
      </c>
      <c r="E824" s="3" t="s">
        <v>2287</v>
      </c>
      <c r="F824" s="3">
        <v>613</v>
      </c>
      <c r="G824" s="3" t="s">
        <v>2285</v>
      </c>
      <c r="H824" s="31" t="s">
        <v>2443</v>
      </c>
      <c r="I824" s="32">
        <v>0</v>
      </c>
      <c r="J824" s="32">
        <v>1220</v>
      </c>
      <c r="K824" s="40">
        <v>0</v>
      </c>
      <c r="L824" s="40">
        <v>0</v>
      </c>
      <c r="M824" s="451">
        <f>N824-K824</f>
        <v>1398</v>
      </c>
      <c r="N824" s="417">
        <v>1398</v>
      </c>
    </row>
    <row r="825" spans="1:14" outlineLevel="6" x14ac:dyDescent="0.4">
      <c r="A825" s="70">
        <v>10</v>
      </c>
      <c r="B825" s="3">
        <v>700</v>
      </c>
      <c r="C825" s="3">
        <v>0</v>
      </c>
      <c r="D825" s="3">
        <v>2700</v>
      </c>
      <c r="E825" s="3">
        <v>340</v>
      </c>
      <c r="F825" s="3">
        <v>0</v>
      </c>
      <c r="G825" s="3">
        <v>0</v>
      </c>
      <c r="H825" s="31" t="s">
        <v>381</v>
      </c>
      <c r="I825" s="32">
        <v>1777</v>
      </c>
      <c r="J825" s="32">
        <v>3316</v>
      </c>
      <c r="K825" s="40">
        <v>5000</v>
      </c>
      <c r="L825" s="40">
        <v>5000</v>
      </c>
      <c r="M825" s="451">
        <f t="shared" si="155"/>
        <v>0</v>
      </c>
      <c r="N825" s="417">
        <v>5000</v>
      </c>
    </row>
    <row r="826" spans="1:14" outlineLevel="6" x14ac:dyDescent="0.4">
      <c r="A826" s="70">
        <v>10</v>
      </c>
      <c r="B826" s="3">
        <v>700</v>
      </c>
      <c r="C826" s="3">
        <v>0</v>
      </c>
      <c r="D826" s="3">
        <v>2700</v>
      </c>
      <c r="E826" s="3">
        <v>400</v>
      </c>
      <c r="F826" s="3">
        <v>0</v>
      </c>
      <c r="G826" s="3">
        <v>0</v>
      </c>
      <c r="H826" s="31" t="s">
        <v>382</v>
      </c>
      <c r="I826" s="32">
        <v>3619</v>
      </c>
      <c r="J826" s="32">
        <v>2746</v>
      </c>
      <c r="K826" s="147">
        <v>5000</v>
      </c>
      <c r="L826" s="40">
        <v>5000</v>
      </c>
      <c r="M826" s="451">
        <f t="shared" si="155"/>
        <v>4865</v>
      </c>
      <c r="N826" s="418">
        <v>9865</v>
      </c>
    </row>
    <row r="827" spans="1:14" outlineLevel="6" x14ac:dyDescent="0.4">
      <c r="A827" s="70">
        <v>10</v>
      </c>
      <c r="B827" s="3">
        <v>700</v>
      </c>
      <c r="C827" s="3">
        <v>0</v>
      </c>
      <c r="D827" s="3">
        <v>2700</v>
      </c>
      <c r="E827" s="3" t="s">
        <v>2458</v>
      </c>
      <c r="F827" s="3">
        <v>0</v>
      </c>
      <c r="G827" s="3">
        <v>0</v>
      </c>
      <c r="H827" s="31" t="s">
        <v>2459</v>
      </c>
      <c r="I827" s="32">
        <v>0</v>
      </c>
      <c r="J827" s="32">
        <v>0</v>
      </c>
      <c r="K827" s="147">
        <v>0</v>
      </c>
      <c r="L827" s="40">
        <v>0</v>
      </c>
      <c r="M827" s="451">
        <f t="shared" ref="M827" si="156">N827-K827</f>
        <v>6000</v>
      </c>
      <c r="N827" s="418">
        <v>6000</v>
      </c>
    </row>
    <row r="828" spans="1:14" outlineLevel="6" x14ac:dyDescent="0.4">
      <c r="A828" s="70">
        <v>10</v>
      </c>
      <c r="B828" s="3">
        <v>700</v>
      </c>
      <c r="C828" s="3">
        <v>0</v>
      </c>
      <c r="D828" s="3">
        <v>2700</v>
      </c>
      <c r="E828" s="3">
        <v>580</v>
      </c>
      <c r="F828" s="3">
        <v>0</v>
      </c>
      <c r="G828" s="3">
        <v>0</v>
      </c>
      <c r="H828" s="31" t="s">
        <v>383</v>
      </c>
      <c r="I828" s="32">
        <v>906</v>
      </c>
      <c r="J828" s="32">
        <v>866</v>
      </c>
      <c r="K828" s="147">
        <v>1000</v>
      </c>
      <c r="L828" s="40">
        <v>1000</v>
      </c>
      <c r="M828" s="451">
        <f t="shared" si="155"/>
        <v>0</v>
      </c>
      <c r="N828" s="418">
        <v>1000</v>
      </c>
    </row>
    <row r="829" spans="1:14" outlineLevel="6" x14ac:dyDescent="0.4">
      <c r="A829" s="70">
        <v>10</v>
      </c>
      <c r="B829" s="3">
        <v>700</v>
      </c>
      <c r="C829" s="3">
        <v>0</v>
      </c>
      <c r="D829" s="3">
        <v>2700</v>
      </c>
      <c r="E829" s="3">
        <v>600</v>
      </c>
      <c r="F829" s="3">
        <v>0</v>
      </c>
      <c r="G829" s="3">
        <v>0</v>
      </c>
      <c r="H829" s="31" t="s">
        <v>384</v>
      </c>
      <c r="I829" s="32">
        <v>4355</v>
      </c>
      <c r="J829" s="32">
        <v>6041</v>
      </c>
      <c r="K829" s="147">
        <v>8000</v>
      </c>
      <c r="L829" s="40">
        <v>7000</v>
      </c>
      <c r="M829" s="451">
        <f t="shared" si="155"/>
        <v>-1000</v>
      </c>
      <c r="N829" s="418">
        <v>7000</v>
      </c>
    </row>
    <row r="830" spans="1:14" outlineLevel="6" x14ac:dyDescent="0.4">
      <c r="A830" s="70">
        <v>10</v>
      </c>
      <c r="B830" s="3">
        <v>700</v>
      </c>
      <c r="C830" s="3">
        <v>0</v>
      </c>
      <c r="D830" s="3">
        <v>2700</v>
      </c>
      <c r="E830" s="3">
        <v>626</v>
      </c>
      <c r="F830" s="3">
        <v>0</v>
      </c>
      <c r="G830" s="3">
        <v>0</v>
      </c>
      <c r="H830" s="31" t="s">
        <v>385</v>
      </c>
      <c r="I830" s="32">
        <v>17588</v>
      </c>
      <c r="J830" s="32">
        <v>19478</v>
      </c>
      <c r="K830" s="147">
        <v>17000</v>
      </c>
      <c r="L830" s="40">
        <v>17000</v>
      </c>
      <c r="M830" s="451">
        <f t="shared" si="155"/>
        <v>0</v>
      </c>
      <c r="N830" s="418">
        <v>17000</v>
      </c>
    </row>
    <row r="831" spans="1:14" outlineLevel="6" x14ac:dyDescent="0.4">
      <c r="A831" s="70">
        <v>10</v>
      </c>
      <c r="B831" s="3">
        <v>700</v>
      </c>
      <c r="C831" s="3">
        <v>0</v>
      </c>
      <c r="D831" s="3">
        <v>2700</v>
      </c>
      <c r="E831" s="3">
        <v>735</v>
      </c>
      <c r="F831" s="3">
        <v>0</v>
      </c>
      <c r="G831" s="3">
        <v>0</v>
      </c>
      <c r="H831" s="31" t="s">
        <v>386</v>
      </c>
      <c r="I831" s="32">
        <v>3327</v>
      </c>
      <c r="J831" s="32">
        <v>1749</v>
      </c>
      <c r="K831" s="40">
        <v>2000</v>
      </c>
      <c r="L831" s="40">
        <v>3000</v>
      </c>
      <c r="M831" s="451">
        <f t="shared" si="155"/>
        <v>1000</v>
      </c>
      <c r="N831" s="417">
        <v>3000</v>
      </c>
    </row>
    <row r="832" spans="1:14" ht="27" outlineLevel="6" thickBot="1" x14ac:dyDescent="0.45">
      <c r="A832" s="70">
        <v>10</v>
      </c>
      <c r="B832" s="3">
        <v>700</v>
      </c>
      <c r="C832" s="3">
        <v>0</v>
      </c>
      <c r="D832" s="3">
        <v>2700</v>
      </c>
      <c r="E832" s="3">
        <v>735</v>
      </c>
      <c r="F832" s="3">
        <v>0</v>
      </c>
      <c r="G832" s="3" t="s">
        <v>1323</v>
      </c>
      <c r="H832" s="31" t="s">
        <v>1350</v>
      </c>
      <c r="I832" s="32">
        <v>0</v>
      </c>
      <c r="J832" s="32">
        <v>1500</v>
      </c>
      <c r="K832" s="40">
        <v>1500</v>
      </c>
      <c r="L832" s="40">
        <v>0</v>
      </c>
      <c r="M832" s="451">
        <f t="shared" si="155"/>
        <v>-1500</v>
      </c>
      <c r="N832" s="417">
        <v>0</v>
      </c>
    </row>
    <row r="833" spans="1:15" ht="27" outlineLevel="5" thickBot="1" x14ac:dyDescent="0.45">
      <c r="A833" s="76"/>
      <c r="B833" s="9"/>
      <c r="C833" s="9"/>
      <c r="D833" s="9" t="s">
        <v>387</v>
      </c>
      <c r="E833" s="9"/>
      <c r="F833" s="9"/>
      <c r="G833" s="9"/>
      <c r="H833" s="44"/>
      <c r="I833" s="42">
        <f>SUBTOTAL(9,I807:I832)</f>
        <v>170575</v>
      </c>
      <c r="J833" s="42">
        <f>SUBTOTAL(9,J807:J832)</f>
        <v>178155</v>
      </c>
      <c r="K833" s="43">
        <f>SUBTOTAL(9,K807:K832)</f>
        <v>171837</v>
      </c>
      <c r="L833" s="43">
        <f>SUBTOTAL(9,L807:L832)</f>
        <v>182482</v>
      </c>
      <c r="M833" s="453">
        <f>N833-K833</f>
        <v>36565</v>
      </c>
      <c r="N833" s="237">
        <f>SUBTOTAL(9,N807:N832)</f>
        <v>208402</v>
      </c>
    </row>
    <row r="834" spans="1:15" outlineLevel="6" x14ac:dyDescent="0.4">
      <c r="A834" s="70">
        <v>10</v>
      </c>
      <c r="B834" s="3">
        <v>700</v>
      </c>
      <c r="C834" s="3">
        <v>0</v>
      </c>
      <c r="D834" s="3">
        <v>2701</v>
      </c>
      <c r="E834" s="3">
        <v>110</v>
      </c>
      <c r="F834" s="3">
        <v>602</v>
      </c>
      <c r="G834" s="3">
        <v>0</v>
      </c>
      <c r="H834" s="31" t="s">
        <v>388</v>
      </c>
      <c r="I834" s="32">
        <v>218</v>
      </c>
      <c r="J834" s="32">
        <v>6874</v>
      </c>
      <c r="K834" s="147">
        <v>7500</v>
      </c>
      <c r="L834" s="40">
        <v>7500</v>
      </c>
      <c r="M834" s="451">
        <f>N834-K834</f>
        <v>0</v>
      </c>
      <c r="N834" s="418">
        <v>7500</v>
      </c>
      <c r="O834" s="29" t="s">
        <v>1565</v>
      </c>
    </row>
    <row r="835" spans="1:15" outlineLevel="6" x14ac:dyDescent="0.4">
      <c r="A835" s="70">
        <v>10</v>
      </c>
      <c r="B835" s="3">
        <v>700</v>
      </c>
      <c r="C835" s="3">
        <v>0</v>
      </c>
      <c r="D835" s="3">
        <v>2701</v>
      </c>
      <c r="E835" s="3">
        <v>215</v>
      </c>
      <c r="F835" s="3">
        <v>602</v>
      </c>
      <c r="G835" s="3">
        <v>0</v>
      </c>
      <c r="H835" s="31" t="s">
        <v>67</v>
      </c>
      <c r="I835" s="32">
        <v>1</v>
      </c>
      <c r="J835" s="32">
        <v>19</v>
      </c>
      <c r="K835" s="147">
        <v>23</v>
      </c>
      <c r="L835" s="40">
        <v>23</v>
      </c>
      <c r="M835" s="451">
        <f t="shared" ref="M835:M839" si="157">N835-K835</f>
        <v>0</v>
      </c>
      <c r="N835" s="418">
        <v>23</v>
      </c>
    </row>
    <row r="836" spans="1:15" outlineLevel="6" x14ac:dyDescent="0.4">
      <c r="A836" s="70">
        <v>10</v>
      </c>
      <c r="B836" s="3">
        <v>700</v>
      </c>
      <c r="C836" s="3">
        <v>0</v>
      </c>
      <c r="D836" s="3">
        <v>2701</v>
      </c>
      <c r="E836" s="3">
        <v>221</v>
      </c>
      <c r="F836" s="3">
        <v>602</v>
      </c>
      <c r="G836" s="3">
        <v>0</v>
      </c>
      <c r="H836" s="31" t="s">
        <v>389</v>
      </c>
      <c r="I836" s="32">
        <v>4</v>
      </c>
      <c r="J836" s="32">
        <v>92</v>
      </c>
      <c r="K836" s="40">
        <v>109</v>
      </c>
      <c r="L836" s="40">
        <v>109</v>
      </c>
      <c r="M836" s="451">
        <f t="shared" si="157"/>
        <v>0</v>
      </c>
      <c r="N836" s="417">
        <v>109</v>
      </c>
    </row>
    <row r="837" spans="1:15" outlineLevel="6" x14ac:dyDescent="0.4">
      <c r="A837" s="70">
        <v>10</v>
      </c>
      <c r="B837" s="3">
        <v>700</v>
      </c>
      <c r="C837" s="3">
        <v>0</v>
      </c>
      <c r="D837" s="3">
        <v>2701</v>
      </c>
      <c r="E837" s="3">
        <v>230</v>
      </c>
      <c r="F837" s="3">
        <v>602</v>
      </c>
      <c r="G837" s="3">
        <v>0</v>
      </c>
      <c r="H837" s="31" t="s">
        <v>390</v>
      </c>
      <c r="I837" s="32">
        <v>43</v>
      </c>
      <c r="J837" s="32">
        <v>1272</v>
      </c>
      <c r="K837" s="40">
        <v>1512</v>
      </c>
      <c r="L837" s="40">
        <v>1530</v>
      </c>
      <c r="M837" s="451">
        <f t="shared" si="157"/>
        <v>18</v>
      </c>
      <c r="N837" s="417">
        <v>1530</v>
      </c>
    </row>
    <row r="838" spans="1:15" outlineLevel="6" x14ac:dyDescent="0.4">
      <c r="A838" s="70">
        <v>10</v>
      </c>
      <c r="B838" s="3">
        <v>700</v>
      </c>
      <c r="C838" s="3">
        <v>0</v>
      </c>
      <c r="D838" s="3">
        <v>2701</v>
      </c>
      <c r="E838" s="3" t="s">
        <v>2287</v>
      </c>
      <c r="F838" s="3">
        <v>602</v>
      </c>
      <c r="G838" s="3" t="s">
        <v>2285</v>
      </c>
      <c r="H838" s="31" t="s">
        <v>2444</v>
      </c>
      <c r="I838" s="32">
        <v>0</v>
      </c>
      <c r="J838" s="32">
        <v>132</v>
      </c>
      <c r="K838" s="40">
        <v>0</v>
      </c>
      <c r="L838" s="40">
        <v>0</v>
      </c>
      <c r="M838" s="451">
        <f t="shared" ref="M838" si="158">N838-K838</f>
        <v>225</v>
      </c>
      <c r="N838" s="417">
        <v>225</v>
      </c>
    </row>
    <row r="839" spans="1:15" ht="27" outlineLevel="6" thickBot="1" x14ac:dyDescent="0.45">
      <c r="A839" s="70">
        <v>10</v>
      </c>
      <c r="B839" s="3">
        <v>700</v>
      </c>
      <c r="C839" s="3">
        <v>0</v>
      </c>
      <c r="D839" s="3">
        <v>2701</v>
      </c>
      <c r="E839" s="3">
        <v>601</v>
      </c>
      <c r="F839" s="3">
        <v>0</v>
      </c>
      <c r="G839" s="3">
        <v>0</v>
      </c>
      <c r="H839" s="31" t="s">
        <v>391</v>
      </c>
      <c r="I839" s="32">
        <v>98</v>
      </c>
      <c r="J839" s="32">
        <v>0</v>
      </c>
      <c r="K839" s="40">
        <v>150</v>
      </c>
      <c r="L839" s="40">
        <v>150</v>
      </c>
      <c r="M839" s="451">
        <f t="shared" si="157"/>
        <v>0</v>
      </c>
      <c r="N839" s="417">
        <v>150</v>
      </c>
    </row>
    <row r="840" spans="1:15" ht="27" outlineLevel="5" thickBot="1" x14ac:dyDescent="0.45">
      <c r="A840" s="118"/>
      <c r="B840" s="119"/>
      <c r="C840" s="119"/>
      <c r="D840" s="119" t="s">
        <v>392</v>
      </c>
      <c r="E840" s="119"/>
      <c r="F840" s="119"/>
      <c r="G840" s="119"/>
      <c r="H840" s="120"/>
      <c r="I840" s="368">
        <f>SUBTOTAL(9,I834:I839)</f>
        <v>364</v>
      </c>
      <c r="J840" s="368">
        <f>SUBTOTAL(9,J834:J839)</f>
        <v>8389</v>
      </c>
      <c r="K840" s="121">
        <f>SUBTOTAL(9,K834:K839)</f>
        <v>9294</v>
      </c>
      <c r="L840" s="121">
        <f>SUBTOTAL(9,L834:L839)</f>
        <v>9312</v>
      </c>
      <c r="M840" s="456">
        <f t="shared" ref="M840:M853" si="159">N840-K840</f>
        <v>243</v>
      </c>
      <c r="N840" s="423">
        <f>SUBTOTAL(9,N834:N839)</f>
        <v>9537</v>
      </c>
    </row>
    <row r="841" spans="1:15" ht="27" outlineLevel="6" thickBot="1" x14ac:dyDescent="0.45">
      <c r="A841" s="70">
        <v>10</v>
      </c>
      <c r="B841" s="3">
        <v>700</v>
      </c>
      <c r="C841" s="3">
        <v>0</v>
      </c>
      <c r="D841" s="3">
        <v>2850</v>
      </c>
      <c r="E841" s="3">
        <v>527</v>
      </c>
      <c r="F841" s="3">
        <v>0</v>
      </c>
      <c r="G841" s="3">
        <v>0</v>
      </c>
      <c r="H841" s="31" t="s">
        <v>393</v>
      </c>
      <c r="I841" s="32">
        <v>54788</v>
      </c>
      <c r="J841" s="32">
        <v>74365</v>
      </c>
      <c r="K841" s="40">
        <v>76333</v>
      </c>
      <c r="L841" s="40">
        <v>95939</v>
      </c>
      <c r="M841" s="451">
        <f t="shared" si="159"/>
        <v>19606</v>
      </c>
      <c r="N841" s="417">
        <v>95939</v>
      </c>
    </row>
    <row r="842" spans="1:15" ht="27" outlineLevel="5" thickBot="1" x14ac:dyDescent="0.45">
      <c r="A842" s="76"/>
      <c r="B842" s="9"/>
      <c r="C842" s="9"/>
      <c r="D842" s="9" t="s">
        <v>394</v>
      </c>
      <c r="E842" s="9"/>
      <c r="F842" s="9"/>
      <c r="G842" s="9"/>
      <c r="H842" s="44"/>
      <c r="I842" s="42">
        <f>SUBTOTAL(9,I841:I841)</f>
        <v>54788</v>
      </c>
      <c r="J842" s="42">
        <f>SUBTOTAL(9,J841:J841)</f>
        <v>74365</v>
      </c>
      <c r="K842" s="43">
        <f>SUBTOTAL(9,K841:K841)</f>
        <v>76333</v>
      </c>
      <c r="L842" s="43">
        <f>SUBTOTAL(9,L841:L841)</f>
        <v>95939</v>
      </c>
      <c r="M842" s="453">
        <f t="shared" si="159"/>
        <v>19606</v>
      </c>
      <c r="N842" s="237">
        <f>SUBTOTAL(9,N841:N841)</f>
        <v>95939</v>
      </c>
    </row>
    <row r="843" spans="1:15" ht="27" outlineLevel="6" thickBot="1" x14ac:dyDescent="0.45">
      <c r="A843" s="70">
        <v>10</v>
      </c>
      <c r="B843" s="3">
        <v>700</v>
      </c>
      <c r="C843" s="3">
        <v>0</v>
      </c>
      <c r="D843" s="3">
        <v>3100</v>
      </c>
      <c r="E843" s="3" t="s">
        <v>535</v>
      </c>
      <c r="F843" s="3" t="s">
        <v>437</v>
      </c>
      <c r="G843" s="3" t="s">
        <v>592</v>
      </c>
      <c r="H843" s="31" t="s">
        <v>626</v>
      </c>
      <c r="I843" s="32">
        <v>397</v>
      </c>
      <c r="J843" s="32">
        <v>603</v>
      </c>
      <c r="K843" s="346">
        <v>377</v>
      </c>
      <c r="L843" s="141">
        <v>0</v>
      </c>
      <c r="M843" s="451">
        <f t="shared" si="159"/>
        <v>-377</v>
      </c>
      <c r="N843" s="414">
        <v>0</v>
      </c>
    </row>
    <row r="844" spans="1:15" ht="27" outlineLevel="5" thickBot="1" x14ac:dyDescent="0.45">
      <c r="A844" s="71"/>
      <c r="B844" s="6"/>
      <c r="C844" s="6"/>
      <c r="D844" s="9" t="s">
        <v>395</v>
      </c>
      <c r="E844" s="6"/>
      <c r="F844" s="6"/>
      <c r="G844" s="6"/>
      <c r="H844" s="41"/>
      <c r="I844" s="42">
        <f>SUBTOTAL(9,I843)</f>
        <v>397</v>
      </c>
      <c r="J844" s="42">
        <f>SUBTOTAL(9,J843:J843)</f>
        <v>603</v>
      </c>
      <c r="K844" s="350">
        <f>SUBTOTAL(9,K843:K843)</f>
        <v>377</v>
      </c>
      <c r="L844" s="50">
        <f>SUBTOTAL(9,L843)</f>
        <v>0</v>
      </c>
      <c r="M844" s="453">
        <f t="shared" si="159"/>
        <v>-377</v>
      </c>
      <c r="N844" s="424">
        <f>SUBTOTAL(9,N843:N843)</f>
        <v>0</v>
      </c>
    </row>
    <row r="845" spans="1:15" ht="27" outlineLevel="4" thickBot="1" x14ac:dyDescent="0.45">
      <c r="A845" s="155"/>
      <c r="B845" s="156" t="s">
        <v>396</v>
      </c>
      <c r="C845" s="157"/>
      <c r="D845" s="157"/>
      <c r="E845" s="157"/>
      <c r="F845" s="157"/>
      <c r="G845" s="157"/>
      <c r="H845" s="158"/>
      <c r="I845" s="369">
        <f>SUBTOTAL(9,I773:I844)</f>
        <v>468494</v>
      </c>
      <c r="J845" s="369">
        <f>SUBTOTAL(9,J773:J844)</f>
        <v>486542</v>
      </c>
      <c r="K845" s="159">
        <f>SUBTOTAL(9,K773:K844)</f>
        <v>518063</v>
      </c>
      <c r="L845" s="159">
        <f>SUBTOTAL(9,L773:L844)</f>
        <v>540009</v>
      </c>
      <c r="M845" s="457">
        <f t="shared" si="159"/>
        <v>46273</v>
      </c>
      <c r="N845" s="425">
        <f>SUBTOTAL(9,N773:N844)</f>
        <v>564336</v>
      </c>
    </row>
    <row r="846" spans="1:15" ht="27" outlineLevel="6" thickBot="1" x14ac:dyDescent="0.45">
      <c r="A846" s="70">
        <v>10</v>
      </c>
      <c r="B846" s="3">
        <v>800</v>
      </c>
      <c r="C846" s="3">
        <v>0</v>
      </c>
      <c r="D846" s="3">
        <v>2850</v>
      </c>
      <c r="E846" s="3">
        <v>526</v>
      </c>
      <c r="F846" s="3">
        <v>0</v>
      </c>
      <c r="G846" s="3">
        <v>0</v>
      </c>
      <c r="H846" s="31" t="s">
        <v>397</v>
      </c>
      <c r="I846" s="32">
        <v>16123</v>
      </c>
      <c r="J846" s="32">
        <v>18919</v>
      </c>
      <c r="K846" s="40">
        <v>16200</v>
      </c>
      <c r="L846" s="40">
        <v>19000</v>
      </c>
      <c r="M846" s="451">
        <f t="shared" si="159"/>
        <v>2800</v>
      </c>
      <c r="N846" s="417">
        <v>19000</v>
      </c>
    </row>
    <row r="847" spans="1:15" ht="27" outlineLevel="5" thickBot="1" x14ac:dyDescent="0.45">
      <c r="A847" s="71"/>
      <c r="B847" s="6"/>
      <c r="C847" s="6"/>
      <c r="D847" s="9" t="s">
        <v>394</v>
      </c>
      <c r="E847" s="6"/>
      <c r="F847" s="6"/>
      <c r="G847" s="6"/>
      <c r="H847" s="41"/>
      <c r="I847" s="42">
        <f>SUBTOTAL(9,I846:I846)</f>
        <v>16123</v>
      </c>
      <c r="J847" s="42">
        <f>SUBTOTAL(9,J846:J846)</f>
        <v>18919</v>
      </c>
      <c r="K847" s="43">
        <f>SUBTOTAL(9,K846:K846)</f>
        <v>16200</v>
      </c>
      <c r="L847" s="43">
        <f>SUBTOTAL(9,L846:L846)</f>
        <v>19000</v>
      </c>
      <c r="M847" s="453">
        <f t="shared" si="159"/>
        <v>2800</v>
      </c>
      <c r="N847" s="237">
        <f>SUBTOTAL(9,N846:N846)</f>
        <v>19000</v>
      </c>
    </row>
    <row r="848" spans="1:15" ht="27" outlineLevel="6" thickBot="1" x14ac:dyDescent="0.45">
      <c r="A848" s="70">
        <v>10</v>
      </c>
      <c r="B848" s="3">
        <v>800</v>
      </c>
      <c r="C848" s="3">
        <v>0</v>
      </c>
      <c r="D848" s="3">
        <v>9100</v>
      </c>
      <c r="E848" s="3">
        <v>990</v>
      </c>
      <c r="F848" s="3">
        <v>0</v>
      </c>
      <c r="G848" s="3">
        <v>0</v>
      </c>
      <c r="H848" s="31" t="s">
        <v>398</v>
      </c>
      <c r="I848" s="32"/>
      <c r="J848" s="32">
        <v>1754832</v>
      </c>
      <c r="K848" s="40">
        <v>1510935</v>
      </c>
      <c r="L848" s="40">
        <v>1551813</v>
      </c>
      <c r="M848" s="451">
        <f t="shared" si="159"/>
        <v>89932</v>
      </c>
      <c r="N848" s="417">
        <v>1600867</v>
      </c>
    </row>
    <row r="849" spans="1:14" ht="27" outlineLevel="5" thickBot="1" x14ac:dyDescent="0.45">
      <c r="A849" s="71"/>
      <c r="B849" s="6"/>
      <c r="C849" s="6"/>
      <c r="D849" s="9" t="s">
        <v>399</v>
      </c>
      <c r="E849" s="6"/>
      <c r="F849" s="6"/>
      <c r="G849" s="6"/>
      <c r="H849" s="41"/>
      <c r="I849" s="42">
        <f>SUBTOTAL(9,I848:I848)</f>
        <v>0</v>
      </c>
      <c r="J849" s="42">
        <f>SUBTOTAL(9,J848:J848)</f>
        <v>1754832</v>
      </c>
      <c r="K849" s="43">
        <f>SUBTOTAL(9,K848:K848)</f>
        <v>1510935</v>
      </c>
      <c r="L849" s="43">
        <f>SUBTOTAL(9,L848:L848)</f>
        <v>1551813</v>
      </c>
      <c r="M849" s="453">
        <f t="shared" si="159"/>
        <v>89932</v>
      </c>
      <c r="N849" s="237">
        <f>SUBTOTAL(9,N848:N848)</f>
        <v>1600867</v>
      </c>
    </row>
    <row r="850" spans="1:14" ht="27" outlineLevel="6" thickBot="1" x14ac:dyDescent="0.45">
      <c r="A850" s="70">
        <v>10</v>
      </c>
      <c r="B850" s="3">
        <v>800</v>
      </c>
      <c r="C850" s="3">
        <v>0</v>
      </c>
      <c r="D850" s="3">
        <v>9310</v>
      </c>
      <c r="E850" s="3">
        <v>990</v>
      </c>
      <c r="F850" s="3">
        <v>0</v>
      </c>
      <c r="G850" s="3">
        <v>0</v>
      </c>
      <c r="H850" s="31" t="s">
        <v>400</v>
      </c>
      <c r="I850" s="32">
        <v>72875</v>
      </c>
      <c r="J850" s="32">
        <v>82500</v>
      </c>
      <c r="K850" s="40">
        <v>73000</v>
      </c>
      <c r="L850" s="407">
        <v>78000</v>
      </c>
      <c r="M850" s="451">
        <f t="shared" si="159"/>
        <v>12000</v>
      </c>
      <c r="N850" s="417">
        <v>85000</v>
      </c>
    </row>
    <row r="851" spans="1:14" ht="27" outlineLevel="5" thickBot="1" x14ac:dyDescent="0.45">
      <c r="A851" s="71"/>
      <c r="B851" s="6"/>
      <c r="C851" s="6"/>
      <c r="D851" s="9" t="s">
        <v>401</v>
      </c>
      <c r="E851" s="6"/>
      <c r="F851" s="6"/>
      <c r="G851" s="6"/>
      <c r="H851" s="41"/>
      <c r="I851" s="42">
        <f>SUBTOTAL(9,I850:I850)</f>
        <v>72875</v>
      </c>
      <c r="J851" s="42">
        <f>SUBTOTAL(9,J850:J850)</f>
        <v>82500</v>
      </c>
      <c r="K851" s="43">
        <f>SUBTOTAL(9,K850:K850)</f>
        <v>73000</v>
      </c>
      <c r="L851" s="43">
        <f>SUBTOTAL(9,L850:L850)</f>
        <v>78000</v>
      </c>
      <c r="M851" s="453">
        <f t="shared" si="159"/>
        <v>12000</v>
      </c>
      <c r="N851" s="237">
        <f>SUBTOTAL(9,N850:N850)</f>
        <v>85000</v>
      </c>
    </row>
    <row r="852" spans="1:14" ht="27" outlineLevel="4" thickBot="1" x14ac:dyDescent="0.45">
      <c r="A852" s="160"/>
      <c r="B852" s="161" t="s">
        <v>255</v>
      </c>
      <c r="C852" s="162"/>
      <c r="D852" s="162"/>
      <c r="E852" s="162"/>
      <c r="F852" s="162"/>
      <c r="G852" s="162"/>
      <c r="H852" s="163"/>
      <c r="I852" s="367">
        <f>SUBTOTAL(9,I846:I850)</f>
        <v>88998</v>
      </c>
      <c r="J852" s="367">
        <f>SUBTOTAL(9,J846:J850)</f>
        <v>1856251</v>
      </c>
      <c r="K852" s="165">
        <f>SUBTOTAL(9,K846:K850)</f>
        <v>1600135</v>
      </c>
      <c r="L852" s="165">
        <f>SUBTOTAL(9,L846:L850)</f>
        <v>1648813</v>
      </c>
      <c r="M852" s="458">
        <f t="shared" si="159"/>
        <v>104732</v>
      </c>
      <c r="N852" s="426">
        <f>SUBTOTAL(9,N846:N850)</f>
        <v>1704867</v>
      </c>
    </row>
    <row r="853" spans="1:14" s="36" customFormat="1" ht="27" outlineLevel="3" thickBot="1" x14ac:dyDescent="0.45">
      <c r="A853" s="77" t="s">
        <v>63</v>
      </c>
      <c r="B853" s="10"/>
      <c r="C853" s="10"/>
      <c r="D853" s="10"/>
      <c r="E853" s="10"/>
      <c r="F853" s="10"/>
      <c r="G853" s="10"/>
      <c r="H853" s="51"/>
      <c r="I853" s="52">
        <f>SUBTOTAL(9,I64:I852)</f>
        <v>2263399</v>
      </c>
      <c r="J853" s="52">
        <f>SUBTOTAL(9,J64:J852)</f>
        <v>4504989</v>
      </c>
      <c r="K853" s="53">
        <f>SUBTOTAL(9,K64:K852)</f>
        <v>4290050</v>
      </c>
      <c r="L853" s="53">
        <f>SUBTOTAL(9,L64:L852)</f>
        <v>4359524</v>
      </c>
      <c r="M853" s="459">
        <f t="shared" si="159"/>
        <v>410475</v>
      </c>
      <c r="N853" s="427">
        <f>SUBTOTAL(9,N64:N852)</f>
        <v>4700525</v>
      </c>
    </row>
    <row r="854" spans="1:14" ht="27" x14ac:dyDescent="0.45">
      <c r="A854" s="112" t="s">
        <v>442</v>
      </c>
      <c r="B854" s="11"/>
      <c r="C854" s="11"/>
      <c r="D854" s="11"/>
      <c r="E854" s="11"/>
      <c r="F854" s="11"/>
      <c r="G854" s="11"/>
      <c r="H854" s="54"/>
      <c r="I854" s="54"/>
      <c r="J854" s="54"/>
      <c r="K854" s="351"/>
      <c r="L854" s="55"/>
      <c r="M854" s="148"/>
      <c r="N854" s="428"/>
    </row>
    <row r="855" spans="1:14" x14ac:dyDescent="0.4">
      <c r="A855" s="66" t="s">
        <v>404</v>
      </c>
      <c r="B855" s="3">
        <v>0</v>
      </c>
      <c r="C855" s="3">
        <v>0</v>
      </c>
      <c r="D855" s="3">
        <v>0</v>
      </c>
      <c r="E855" s="3">
        <v>1</v>
      </c>
      <c r="F855" s="3">
        <v>0</v>
      </c>
      <c r="G855" s="3">
        <v>0</v>
      </c>
      <c r="H855" s="31" t="s">
        <v>41</v>
      </c>
      <c r="I855" s="32">
        <v>0</v>
      </c>
      <c r="J855" s="32">
        <v>29335</v>
      </c>
      <c r="K855" s="40">
        <v>29335</v>
      </c>
      <c r="L855" s="40">
        <v>25455</v>
      </c>
      <c r="M855" s="451">
        <f>N855-K855</f>
        <v>4252</v>
      </c>
      <c r="N855" s="417">
        <v>33587</v>
      </c>
    </row>
    <row r="856" spans="1:14" x14ac:dyDescent="0.4">
      <c r="A856" s="66" t="s">
        <v>404</v>
      </c>
      <c r="B856" s="3">
        <v>0</v>
      </c>
      <c r="C856" s="3">
        <v>0</v>
      </c>
      <c r="D856" s="3">
        <v>0</v>
      </c>
      <c r="E856" s="3">
        <v>1500</v>
      </c>
      <c r="F856" s="3">
        <v>0</v>
      </c>
      <c r="G856" s="3">
        <v>0</v>
      </c>
      <c r="H856" s="31" t="s">
        <v>405</v>
      </c>
      <c r="I856" s="32">
        <v>50</v>
      </c>
      <c r="J856" s="32">
        <v>61</v>
      </c>
      <c r="K856" s="40">
        <v>30</v>
      </c>
      <c r="L856" s="40">
        <v>50</v>
      </c>
      <c r="M856" s="451">
        <f t="shared" ref="M856:M859" si="160">N856-K856</f>
        <v>20</v>
      </c>
      <c r="N856" s="417">
        <v>50</v>
      </c>
    </row>
    <row r="857" spans="1:14" x14ac:dyDescent="0.4">
      <c r="A857" s="66" t="s">
        <v>404</v>
      </c>
      <c r="B857" s="3">
        <v>0</v>
      </c>
      <c r="C857" s="3">
        <v>0</v>
      </c>
      <c r="D857" s="3">
        <v>0</v>
      </c>
      <c r="E857" s="3" t="s">
        <v>585</v>
      </c>
      <c r="F857" s="3">
        <v>0</v>
      </c>
      <c r="G857" s="3" t="s">
        <v>483</v>
      </c>
      <c r="H857" s="31" t="s">
        <v>2454</v>
      </c>
      <c r="I857" s="32">
        <v>0</v>
      </c>
      <c r="J857" s="32">
        <v>0</v>
      </c>
      <c r="K857" s="40">
        <v>0</v>
      </c>
      <c r="L857" s="40">
        <v>0</v>
      </c>
      <c r="M857" s="451">
        <f t="shared" ref="M857" si="161">N857-K857</f>
        <v>764</v>
      </c>
      <c r="N857" s="417">
        <v>764</v>
      </c>
    </row>
    <row r="858" spans="1:14" x14ac:dyDescent="0.4">
      <c r="A858" s="66" t="s">
        <v>404</v>
      </c>
      <c r="B858" s="3" t="s">
        <v>448</v>
      </c>
      <c r="C858" s="3" t="s">
        <v>448</v>
      </c>
      <c r="D858" s="3" t="s">
        <v>448</v>
      </c>
      <c r="E858" s="3" t="s">
        <v>591</v>
      </c>
      <c r="F858" s="3" t="s">
        <v>448</v>
      </c>
      <c r="G858" s="3" t="s">
        <v>595</v>
      </c>
      <c r="H858" s="31" t="s">
        <v>596</v>
      </c>
      <c r="I858" s="32">
        <v>159</v>
      </c>
      <c r="J858" s="32">
        <v>0</v>
      </c>
      <c r="K858" s="40">
        <v>0</v>
      </c>
      <c r="L858" s="40">
        <v>0</v>
      </c>
      <c r="M858" s="451">
        <f t="shared" si="160"/>
        <v>0</v>
      </c>
      <c r="N858" s="417">
        <v>0</v>
      </c>
    </row>
    <row r="859" spans="1:14" ht="27" thickBot="1" x14ac:dyDescent="0.45">
      <c r="A859" s="66" t="s">
        <v>404</v>
      </c>
      <c r="B859" s="3">
        <v>0</v>
      </c>
      <c r="C859" s="3">
        <v>0</v>
      </c>
      <c r="D859" s="3">
        <v>0</v>
      </c>
      <c r="E859" s="3">
        <v>5810</v>
      </c>
      <c r="F859" s="3">
        <v>0</v>
      </c>
      <c r="G859" s="3">
        <v>3141</v>
      </c>
      <c r="H859" s="31" t="s">
        <v>2349</v>
      </c>
      <c r="I859" s="32">
        <v>113532</v>
      </c>
      <c r="J859" s="32">
        <v>169702</v>
      </c>
      <c r="K859" s="40">
        <v>168000</v>
      </c>
      <c r="L859" s="40">
        <v>162631</v>
      </c>
      <c r="M859" s="451">
        <f t="shared" si="160"/>
        <v>-1250</v>
      </c>
      <c r="N859" s="417">
        <v>166750</v>
      </c>
    </row>
    <row r="860" spans="1:14" ht="27" thickBot="1" x14ac:dyDescent="0.45">
      <c r="A860" s="111" t="s">
        <v>444</v>
      </c>
      <c r="B860" s="12"/>
      <c r="C860" s="12"/>
      <c r="D860" s="12"/>
      <c r="E860" s="12"/>
      <c r="F860" s="12"/>
      <c r="G860" s="12"/>
      <c r="H860" s="57"/>
      <c r="I860" s="58">
        <f>SUBTOTAL(9,I855:I859)</f>
        <v>113741</v>
      </c>
      <c r="J860" s="58">
        <f>SUBTOTAL(9,J855:J859)</f>
        <v>199098</v>
      </c>
      <c r="K860" s="59">
        <f>SUBTOTAL(9,K855:K859)</f>
        <v>197365</v>
      </c>
      <c r="L860" s="59">
        <f>SUBTOTAL(9,L855:L859)</f>
        <v>188136</v>
      </c>
      <c r="M860" s="460">
        <f>N860-K860</f>
        <v>3786</v>
      </c>
      <c r="N860" s="429">
        <f>SUBTOTAL(9,N855:N859)</f>
        <v>201151</v>
      </c>
    </row>
    <row r="861" spans="1:14" s="82" customFormat="1" x14ac:dyDescent="0.4">
      <c r="A861" s="68"/>
      <c r="B861" s="15"/>
      <c r="C861" s="15"/>
      <c r="D861" s="15"/>
      <c r="E861" s="15"/>
      <c r="F861" s="15"/>
      <c r="G861" s="15"/>
      <c r="H861" s="37"/>
      <c r="I861" s="38"/>
      <c r="J861" s="38"/>
      <c r="K861" s="39"/>
      <c r="L861" s="39"/>
      <c r="M861" s="461"/>
      <c r="N861" s="421"/>
    </row>
    <row r="862" spans="1:14" x14ac:dyDescent="0.4">
      <c r="A862" s="78" t="s">
        <v>443</v>
      </c>
      <c r="B862" s="11"/>
      <c r="C862" s="11"/>
      <c r="D862" s="11"/>
      <c r="E862" s="11"/>
      <c r="F862" s="11"/>
      <c r="G862" s="11"/>
      <c r="H862" s="54"/>
      <c r="I862" s="54"/>
      <c r="J862" s="54"/>
      <c r="K862" s="351"/>
      <c r="L862" s="55"/>
      <c r="M862" s="148"/>
      <c r="N862" s="428"/>
    </row>
    <row r="863" spans="1:14" x14ac:dyDescent="0.4">
      <c r="A863" s="70">
        <v>19</v>
      </c>
      <c r="B863" s="3">
        <v>100</v>
      </c>
      <c r="C863" s="3">
        <v>0</v>
      </c>
      <c r="D863" s="3" t="s">
        <v>40</v>
      </c>
      <c r="E863" s="3">
        <v>110</v>
      </c>
      <c r="F863" s="3" t="s">
        <v>494</v>
      </c>
      <c r="G863" s="3">
        <v>3141</v>
      </c>
      <c r="H863" s="31" t="s">
        <v>1241</v>
      </c>
      <c r="I863" s="32">
        <v>6174</v>
      </c>
      <c r="J863" s="32">
        <v>4659</v>
      </c>
      <c r="K863" s="147">
        <v>6300</v>
      </c>
      <c r="L863" s="40">
        <v>0</v>
      </c>
      <c r="M863" s="451">
        <f>N863-K863</f>
        <v>-6300</v>
      </c>
      <c r="N863" s="418">
        <v>0</v>
      </c>
    </row>
    <row r="864" spans="1:14" x14ac:dyDescent="0.4">
      <c r="A864" s="70">
        <v>19</v>
      </c>
      <c r="B864" s="3">
        <v>100</v>
      </c>
      <c r="C864" s="3">
        <v>0</v>
      </c>
      <c r="D864" s="3" t="s">
        <v>40</v>
      </c>
      <c r="E864" s="3" t="s">
        <v>455</v>
      </c>
      <c r="F864" s="3" t="s">
        <v>494</v>
      </c>
      <c r="G864" s="3">
        <v>3141</v>
      </c>
      <c r="H864" s="31" t="s">
        <v>1537</v>
      </c>
      <c r="I864" s="32">
        <v>0</v>
      </c>
      <c r="J864" s="32">
        <v>3</v>
      </c>
      <c r="K864" s="147">
        <v>0</v>
      </c>
      <c r="L864" s="40">
        <v>0</v>
      </c>
      <c r="M864" s="451">
        <f>N864-K864</f>
        <v>0</v>
      </c>
      <c r="N864" s="418">
        <v>0</v>
      </c>
    </row>
    <row r="865" spans="1:15" x14ac:dyDescent="0.4">
      <c r="A865" s="70">
        <v>19</v>
      </c>
      <c r="B865" s="3">
        <v>100</v>
      </c>
      <c r="C865" s="3">
        <v>0</v>
      </c>
      <c r="D865" s="3" t="s">
        <v>40</v>
      </c>
      <c r="E865" s="3">
        <v>215</v>
      </c>
      <c r="F865" s="3" t="s">
        <v>494</v>
      </c>
      <c r="G865" s="3">
        <v>3141</v>
      </c>
      <c r="H865" s="31" t="s">
        <v>1242</v>
      </c>
      <c r="I865" s="32">
        <v>17</v>
      </c>
      <c r="J865" s="32">
        <v>14</v>
      </c>
      <c r="K865" s="147">
        <v>19</v>
      </c>
      <c r="L865" s="40">
        <v>0</v>
      </c>
      <c r="M865" s="451">
        <f t="shared" ref="M865:M870" si="162">N865-K865</f>
        <v>-19</v>
      </c>
      <c r="N865" s="418">
        <v>0</v>
      </c>
    </row>
    <row r="866" spans="1:15" x14ac:dyDescent="0.4">
      <c r="A866" s="70">
        <v>19</v>
      </c>
      <c r="B866" s="3">
        <v>100</v>
      </c>
      <c r="C866" s="3">
        <v>0</v>
      </c>
      <c r="D866" s="3" t="s">
        <v>40</v>
      </c>
      <c r="E866" s="3">
        <v>221</v>
      </c>
      <c r="F866" s="3" t="s">
        <v>494</v>
      </c>
      <c r="G866" s="3">
        <v>3141</v>
      </c>
      <c r="H866" s="31" t="s">
        <v>1243</v>
      </c>
      <c r="I866" s="32">
        <v>92</v>
      </c>
      <c r="J866" s="32">
        <v>68</v>
      </c>
      <c r="K866" s="40">
        <v>92</v>
      </c>
      <c r="L866" s="40">
        <v>0</v>
      </c>
      <c r="M866" s="451">
        <f t="shared" si="162"/>
        <v>-92</v>
      </c>
      <c r="N866" s="417">
        <v>0</v>
      </c>
    </row>
    <row r="867" spans="1:15" x14ac:dyDescent="0.4">
      <c r="A867" s="70">
        <v>19</v>
      </c>
      <c r="B867" s="3">
        <v>100</v>
      </c>
      <c r="C867" s="3">
        <v>0</v>
      </c>
      <c r="D867" s="3" t="s">
        <v>40</v>
      </c>
      <c r="E867" s="3">
        <v>230</v>
      </c>
      <c r="F867" s="3" t="s">
        <v>494</v>
      </c>
      <c r="G867" s="3">
        <v>3141</v>
      </c>
      <c r="H867" s="31" t="s">
        <v>1244</v>
      </c>
      <c r="I867" s="32">
        <v>1171</v>
      </c>
      <c r="J867" s="32">
        <v>899</v>
      </c>
      <c r="K867" s="40">
        <v>1230</v>
      </c>
      <c r="L867" s="40">
        <v>0</v>
      </c>
      <c r="M867" s="451">
        <f t="shared" si="162"/>
        <v>-1230</v>
      </c>
      <c r="N867" s="417">
        <v>0</v>
      </c>
    </row>
    <row r="868" spans="1:15" x14ac:dyDescent="0.4">
      <c r="A868" s="70">
        <v>19</v>
      </c>
      <c r="B868" s="3">
        <v>100</v>
      </c>
      <c r="C868" s="3">
        <v>0</v>
      </c>
      <c r="D868" s="3" t="s">
        <v>40</v>
      </c>
      <c r="E868" s="3" t="s">
        <v>450</v>
      </c>
      <c r="F868" s="3" t="s">
        <v>494</v>
      </c>
      <c r="G868" s="3">
        <v>3141</v>
      </c>
      <c r="H868" s="31" t="s">
        <v>1538</v>
      </c>
      <c r="I868" s="32">
        <v>0</v>
      </c>
      <c r="J868" s="32">
        <v>1</v>
      </c>
      <c r="K868" s="40">
        <v>0</v>
      </c>
      <c r="L868" s="40">
        <v>0</v>
      </c>
      <c r="M868" s="451">
        <f t="shared" si="162"/>
        <v>0</v>
      </c>
      <c r="N868" s="417">
        <v>0</v>
      </c>
    </row>
    <row r="869" spans="1:15" outlineLevel="6" x14ac:dyDescent="0.4">
      <c r="A869" s="70" t="s">
        <v>404</v>
      </c>
      <c r="B869" s="3" t="s">
        <v>447</v>
      </c>
      <c r="C869" s="3" t="s">
        <v>448</v>
      </c>
      <c r="D869" s="3" t="s">
        <v>40</v>
      </c>
      <c r="E869" s="3" t="s">
        <v>603</v>
      </c>
      <c r="F869" s="3" t="s">
        <v>448</v>
      </c>
      <c r="G869" s="3" t="s">
        <v>483</v>
      </c>
      <c r="H869" s="31" t="s">
        <v>1239</v>
      </c>
      <c r="I869" s="32">
        <v>0</v>
      </c>
      <c r="J869" s="32">
        <v>0</v>
      </c>
      <c r="K869" s="40">
        <v>1400</v>
      </c>
      <c r="L869" s="40">
        <v>0</v>
      </c>
      <c r="M869" s="451">
        <f t="shared" si="162"/>
        <v>-1400</v>
      </c>
      <c r="N869" s="417">
        <v>0</v>
      </c>
    </row>
    <row r="870" spans="1:15" ht="27" outlineLevel="6" thickBot="1" x14ac:dyDescent="0.45">
      <c r="A870" s="70" t="s">
        <v>404</v>
      </c>
      <c r="B870" s="3" t="s">
        <v>447</v>
      </c>
      <c r="C870" s="3" t="s">
        <v>448</v>
      </c>
      <c r="D870" s="3" t="s">
        <v>40</v>
      </c>
      <c r="E870" s="3" t="s">
        <v>535</v>
      </c>
      <c r="F870" s="3" t="s">
        <v>448</v>
      </c>
      <c r="G870" s="3" t="s">
        <v>483</v>
      </c>
      <c r="H870" s="31" t="s">
        <v>1240</v>
      </c>
      <c r="I870" s="32">
        <v>265</v>
      </c>
      <c r="J870" s="32">
        <v>3561</v>
      </c>
      <c r="K870" s="40">
        <v>4959</v>
      </c>
      <c r="L870" s="40">
        <v>0</v>
      </c>
      <c r="M870" s="451">
        <f t="shared" si="162"/>
        <v>-4959</v>
      </c>
      <c r="N870" s="417">
        <v>0</v>
      </c>
    </row>
    <row r="871" spans="1:15" ht="27" outlineLevel="6" thickBot="1" x14ac:dyDescent="0.45">
      <c r="A871" s="76"/>
      <c r="B871" s="9"/>
      <c r="C871" s="9"/>
      <c r="D871" s="9" t="s">
        <v>63</v>
      </c>
      <c r="E871" s="9"/>
      <c r="F871" s="9"/>
      <c r="G871" s="9"/>
      <c r="H871" s="44"/>
      <c r="I871" s="50">
        <f>SUBTOTAL(9,I863:I870)</f>
        <v>7719</v>
      </c>
      <c r="J871" s="50">
        <f>SUBTOTAL(9,J863:J870)</f>
        <v>9205</v>
      </c>
      <c r="K871" s="50">
        <f>SUBTOTAL(9,K863:K870)</f>
        <v>14000</v>
      </c>
      <c r="L871" s="50">
        <f>SUBTOTAL(9,L863:L870)</f>
        <v>0</v>
      </c>
      <c r="M871" s="462">
        <f>N871-K871</f>
        <v>-14000</v>
      </c>
      <c r="N871" s="50">
        <f>SUBTOTAL(9,N863:N870)</f>
        <v>0</v>
      </c>
    </row>
    <row r="872" spans="1:15" x14ac:dyDescent="0.4">
      <c r="A872" s="70">
        <v>19</v>
      </c>
      <c r="B872" s="3">
        <v>100</v>
      </c>
      <c r="C872" s="3">
        <v>0</v>
      </c>
      <c r="D872" s="3">
        <v>40</v>
      </c>
      <c r="E872" s="3">
        <v>110</v>
      </c>
      <c r="F872" s="3">
        <v>200</v>
      </c>
      <c r="G872" s="3">
        <v>3141</v>
      </c>
      <c r="H872" s="31" t="s">
        <v>406</v>
      </c>
      <c r="I872" s="32">
        <v>33000</v>
      </c>
      <c r="J872" s="32">
        <v>34580</v>
      </c>
      <c r="K872" s="147">
        <v>34580</v>
      </c>
      <c r="L872" s="40">
        <f>34805+6104</f>
        <v>40909</v>
      </c>
      <c r="M872" s="451">
        <f>N872-K872</f>
        <v>14495</v>
      </c>
      <c r="N872" s="418">
        <v>49075</v>
      </c>
      <c r="O872" s="29" t="s">
        <v>1539</v>
      </c>
    </row>
    <row r="873" spans="1:15" x14ac:dyDescent="0.4">
      <c r="A873" s="70">
        <v>19</v>
      </c>
      <c r="B873" s="3">
        <v>100</v>
      </c>
      <c r="C873" s="3">
        <v>0</v>
      </c>
      <c r="D873" s="3">
        <v>40</v>
      </c>
      <c r="E873" s="3">
        <v>110</v>
      </c>
      <c r="F873" s="3">
        <v>415</v>
      </c>
      <c r="G873" s="3">
        <v>3141</v>
      </c>
      <c r="H873" s="31" t="s">
        <v>407</v>
      </c>
      <c r="I873" s="32">
        <v>9824</v>
      </c>
      <c r="J873" s="32">
        <v>19136</v>
      </c>
      <c r="K873" s="147">
        <v>18262</v>
      </c>
      <c r="L873" s="40">
        <f>4521+18900+140</f>
        <v>23561</v>
      </c>
      <c r="M873" s="451">
        <f t="shared" ref="M873:M890" si="163">N873-K873</f>
        <v>5299</v>
      </c>
      <c r="N873" s="418">
        <v>23561</v>
      </c>
      <c r="O873" s="29" t="s">
        <v>1561</v>
      </c>
    </row>
    <row r="874" spans="1:15" x14ac:dyDescent="0.4">
      <c r="A874" s="70">
        <v>19</v>
      </c>
      <c r="B874" s="3">
        <v>100</v>
      </c>
      <c r="C874" s="3">
        <v>0</v>
      </c>
      <c r="D874" s="3">
        <v>40</v>
      </c>
      <c r="E874" s="3">
        <v>120</v>
      </c>
      <c r="F874" s="3">
        <v>200</v>
      </c>
      <c r="G874" s="3">
        <v>3141</v>
      </c>
      <c r="H874" s="31" t="s">
        <v>408</v>
      </c>
      <c r="I874" s="32">
        <v>50</v>
      </c>
      <c r="J874" s="32">
        <v>944</v>
      </c>
      <c r="K874" s="147">
        <v>600</v>
      </c>
      <c r="L874" s="40">
        <v>900</v>
      </c>
      <c r="M874" s="451">
        <f t="shared" si="163"/>
        <v>1850</v>
      </c>
      <c r="N874" s="418">
        <v>2450</v>
      </c>
    </row>
    <row r="875" spans="1:15" x14ac:dyDescent="0.4">
      <c r="A875" s="70">
        <v>19</v>
      </c>
      <c r="B875" s="3">
        <v>100</v>
      </c>
      <c r="C875" s="3">
        <v>0</v>
      </c>
      <c r="D875" s="3">
        <v>40</v>
      </c>
      <c r="E875" s="3">
        <v>120</v>
      </c>
      <c r="F875" s="3" t="s">
        <v>1315</v>
      </c>
      <c r="G875" s="3">
        <v>3141</v>
      </c>
      <c r="H875" s="31" t="s">
        <v>1316</v>
      </c>
      <c r="I875" s="32">
        <v>0</v>
      </c>
      <c r="J875" s="32">
        <v>2619</v>
      </c>
      <c r="K875" s="147">
        <v>400</v>
      </c>
      <c r="L875" s="40">
        <v>900</v>
      </c>
      <c r="M875" s="451">
        <f t="shared" si="163"/>
        <v>500</v>
      </c>
      <c r="N875" s="418">
        <v>900</v>
      </c>
    </row>
    <row r="876" spans="1:15" x14ac:dyDescent="0.4">
      <c r="A876" s="70">
        <v>19</v>
      </c>
      <c r="B876" s="3">
        <v>100</v>
      </c>
      <c r="C876" s="3">
        <v>0</v>
      </c>
      <c r="D876" s="3">
        <v>40</v>
      </c>
      <c r="E876" s="3" t="s">
        <v>1275</v>
      </c>
      <c r="F876" s="3" t="s">
        <v>451</v>
      </c>
      <c r="G876" s="3">
        <v>3141</v>
      </c>
      <c r="H876" s="31" t="s">
        <v>1352</v>
      </c>
      <c r="I876" s="32">
        <v>0</v>
      </c>
      <c r="J876" s="32">
        <v>1900</v>
      </c>
      <c r="K876" s="147">
        <v>500</v>
      </c>
      <c r="L876" s="40">
        <v>1500</v>
      </c>
      <c r="M876" s="451">
        <f t="shared" si="163"/>
        <v>1500</v>
      </c>
      <c r="N876" s="418">
        <v>2000</v>
      </c>
      <c r="O876" s="29" t="s">
        <v>2451</v>
      </c>
    </row>
    <row r="877" spans="1:15" x14ac:dyDescent="0.4">
      <c r="A877" s="70">
        <v>19</v>
      </c>
      <c r="B877" s="3">
        <v>100</v>
      </c>
      <c r="C877" s="3">
        <v>0</v>
      </c>
      <c r="D877" s="3">
        <v>40</v>
      </c>
      <c r="E877" s="3" t="s">
        <v>455</v>
      </c>
      <c r="F877" s="3">
        <v>200</v>
      </c>
      <c r="G877" s="3">
        <v>3141</v>
      </c>
      <c r="H877" s="31" t="s">
        <v>106</v>
      </c>
      <c r="I877" s="32">
        <v>67</v>
      </c>
      <c r="J877" s="32">
        <v>60</v>
      </c>
      <c r="K877" s="40">
        <v>66</v>
      </c>
      <c r="L877" s="40">
        <v>77</v>
      </c>
      <c r="M877" s="451">
        <f t="shared" si="163"/>
        <v>11</v>
      </c>
      <c r="N877" s="417">
        <v>77</v>
      </c>
    </row>
    <row r="878" spans="1:15" x14ac:dyDescent="0.4">
      <c r="A878" s="70">
        <v>19</v>
      </c>
      <c r="B878" s="3">
        <v>100</v>
      </c>
      <c r="C878" s="3">
        <v>0</v>
      </c>
      <c r="D878" s="3">
        <v>40</v>
      </c>
      <c r="E878" s="3" t="s">
        <v>455</v>
      </c>
      <c r="F878" s="3">
        <v>415</v>
      </c>
      <c r="G878" s="3">
        <v>3141</v>
      </c>
      <c r="H878" s="31" t="s">
        <v>107</v>
      </c>
      <c r="I878" s="32">
        <v>36</v>
      </c>
      <c r="J878" s="32">
        <v>32</v>
      </c>
      <c r="K878" s="40">
        <v>66</v>
      </c>
      <c r="L878" s="40">
        <v>80</v>
      </c>
      <c r="M878" s="451">
        <f t="shared" si="163"/>
        <v>14</v>
      </c>
      <c r="N878" s="417">
        <v>80</v>
      </c>
    </row>
    <row r="879" spans="1:15" x14ac:dyDescent="0.4">
      <c r="A879" s="70">
        <v>19</v>
      </c>
      <c r="B879" s="3">
        <v>100</v>
      </c>
      <c r="C879" s="3">
        <v>0</v>
      </c>
      <c r="D879" s="3">
        <v>40</v>
      </c>
      <c r="E879" s="3">
        <v>215</v>
      </c>
      <c r="F879" s="3">
        <v>200</v>
      </c>
      <c r="G879" s="3">
        <v>3141</v>
      </c>
      <c r="H879" s="31" t="s">
        <v>409</v>
      </c>
      <c r="I879" s="32">
        <v>100</v>
      </c>
      <c r="J879" s="32">
        <v>109</v>
      </c>
      <c r="K879" s="40">
        <v>106</v>
      </c>
      <c r="L879" s="40">
        <v>130</v>
      </c>
      <c r="M879" s="451">
        <f t="shared" si="163"/>
        <v>55</v>
      </c>
      <c r="N879" s="417">
        <v>161</v>
      </c>
    </row>
    <row r="880" spans="1:15" x14ac:dyDescent="0.4">
      <c r="A880" s="70">
        <v>19</v>
      </c>
      <c r="B880" s="3">
        <v>100</v>
      </c>
      <c r="C880" s="3">
        <v>0</v>
      </c>
      <c r="D880" s="3">
        <v>40</v>
      </c>
      <c r="E880" s="3">
        <v>215</v>
      </c>
      <c r="F880" s="3">
        <v>415</v>
      </c>
      <c r="G880" s="3">
        <v>3141</v>
      </c>
      <c r="H880" s="31" t="s">
        <v>410</v>
      </c>
      <c r="I880" s="32">
        <v>29</v>
      </c>
      <c r="J880" s="32">
        <v>65</v>
      </c>
      <c r="K880" s="40">
        <v>56</v>
      </c>
      <c r="L880" s="40">
        <v>74</v>
      </c>
      <c r="M880" s="451">
        <f t="shared" si="163"/>
        <v>18</v>
      </c>
      <c r="N880" s="417">
        <v>74</v>
      </c>
    </row>
    <row r="881" spans="1:14" x14ac:dyDescent="0.4">
      <c r="A881" s="70">
        <v>19</v>
      </c>
      <c r="B881" s="3">
        <v>100</v>
      </c>
      <c r="C881" s="3">
        <v>0</v>
      </c>
      <c r="D881" s="3">
        <v>40</v>
      </c>
      <c r="E881" s="3">
        <v>221</v>
      </c>
      <c r="F881" s="3">
        <v>200</v>
      </c>
      <c r="G881" s="3">
        <v>3141</v>
      </c>
      <c r="H881" s="31" t="s">
        <v>108</v>
      </c>
      <c r="I881" s="32">
        <v>487</v>
      </c>
      <c r="J881" s="32">
        <v>525</v>
      </c>
      <c r="K881" s="40">
        <v>511</v>
      </c>
      <c r="L881" s="40">
        <v>628</v>
      </c>
      <c r="M881" s="451">
        <f t="shared" si="163"/>
        <v>266</v>
      </c>
      <c r="N881" s="417">
        <v>777</v>
      </c>
    </row>
    <row r="882" spans="1:14" x14ac:dyDescent="0.4">
      <c r="A882" s="70">
        <v>19</v>
      </c>
      <c r="B882" s="3">
        <v>100</v>
      </c>
      <c r="C882" s="3">
        <v>0</v>
      </c>
      <c r="D882" s="3">
        <v>40</v>
      </c>
      <c r="E882" s="3">
        <v>221</v>
      </c>
      <c r="F882" s="3">
        <v>415</v>
      </c>
      <c r="G882" s="3">
        <v>3141</v>
      </c>
      <c r="H882" s="31" t="s">
        <v>109</v>
      </c>
      <c r="I882" s="32">
        <v>142</v>
      </c>
      <c r="J882" s="32">
        <v>313</v>
      </c>
      <c r="K882" s="40">
        <v>271</v>
      </c>
      <c r="L882" s="40">
        <v>355</v>
      </c>
      <c r="M882" s="451">
        <f t="shared" si="163"/>
        <v>84</v>
      </c>
      <c r="N882" s="417">
        <v>355</v>
      </c>
    </row>
    <row r="883" spans="1:14" x14ac:dyDescent="0.4">
      <c r="A883" s="70">
        <v>19</v>
      </c>
      <c r="B883" s="3">
        <v>100</v>
      </c>
      <c r="C883" s="3">
        <v>0</v>
      </c>
      <c r="D883" s="3">
        <v>40</v>
      </c>
      <c r="E883" s="3">
        <v>230</v>
      </c>
      <c r="F883" s="3">
        <v>200</v>
      </c>
      <c r="G883" s="3">
        <v>3141</v>
      </c>
      <c r="H883" s="31" t="s">
        <v>110</v>
      </c>
      <c r="I883" s="32">
        <v>6614</v>
      </c>
      <c r="J883" s="32">
        <v>7255</v>
      </c>
      <c r="K883" s="40">
        <v>6461</v>
      </c>
      <c r="L883" s="40">
        <v>8835</v>
      </c>
      <c r="M883" s="451">
        <f t="shared" si="163"/>
        <v>4459</v>
      </c>
      <c r="N883" s="417">
        <v>10920</v>
      </c>
    </row>
    <row r="884" spans="1:14" x14ac:dyDescent="0.4">
      <c r="A884" s="70">
        <v>19</v>
      </c>
      <c r="B884" s="3">
        <v>100</v>
      </c>
      <c r="C884" s="3">
        <v>0</v>
      </c>
      <c r="D884" s="3">
        <v>40</v>
      </c>
      <c r="E884" s="3">
        <v>230</v>
      </c>
      <c r="F884" s="3">
        <v>415</v>
      </c>
      <c r="G884" s="3">
        <v>3141</v>
      </c>
      <c r="H884" s="31" t="s">
        <v>111</v>
      </c>
      <c r="I884" s="32">
        <v>1904</v>
      </c>
      <c r="J884" s="32">
        <v>3891</v>
      </c>
      <c r="K884" s="40">
        <v>3600</v>
      </c>
      <c r="L884" s="40">
        <v>4990</v>
      </c>
      <c r="M884" s="451">
        <f t="shared" si="163"/>
        <v>1390</v>
      </c>
      <c r="N884" s="417">
        <v>4990</v>
      </c>
    </row>
    <row r="885" spans="1:14" outlineLevel="6" x14ac:dyDescent="0.4">
      <c r="A885" s="70">
        <v>19</v>
      </c>
      <c r="B885" s="3">
        <v>100</v>
      </c>
      <c r="C885" s="3">
        <v>0</v>
      </c>
      <c r="D885" s="3">
        <v>40</v>
      </c>
      <c r="E885" s="3">
        <v>250</v>
      </c>
      <c r="F885" s="3">
        <v>200</v>
      </c>
      <c r="G885" s="3">
        <v>3141</v>
      </c>
      <c r="H885" s="31" t="s">
        <v>232</v>
      </c>
      <c r="I885" s="32">
        <v>5663</v>
      </c>
      <c r="J885" s="32">
        <v>5437</v>
      </c>
      <c r="K885" s="40">
        <v>5663</v>
      </c>
      <c r="L885" s="40">
        <f>6132+1622</f>
        <v>7754</v>
      </c>
      <c r="M885" s="451">
        <f t="shared" si="163"/>
        <v>2091</v>
      </c>
      <c r="N885" s="417">
        <v>7754</v>
      </c>
    </row>
    <row r="886" spans="1:14" outlineLevel="6" x14ac:dyDescent="0.4">
      <c r="A886" s="70">
        <v>19</v>
      </c>
      <c r="B886" s="3">
        <v>100</v>
      </c>
      <c r="C886" s="3">
        <v>0</v>
      </c>
      <c r="D886" s="3">
        <v>40</v>
      </c>
      <c r="E886" s="3">
        <v>250</v>
      </c>
      <c r="F886" s="3">
        <v>415</v>
      </c>
      <c r="G886" s="3">
        <v>3141</v>
      </c>
      <c r="H886" s="31" t="s">
        <v>411</v>
      </c>
      <c r="I886" s="32">
        <v>489</v>
      </c>
      <c r="J886" s="32">
        <v>4869</v>
      </c>
      <c r="K886" s="40">
        <v>5663</v>
      </c>
      <c r="L886" s="40">
        <f>1227+6132</f>
        <v>7359</v>
      </c>
      <c r="M886" s="451">
        <f t="shared" si="163"/>
        <v>1696</v>
      </c>
      <c r="N886" s="417">
        <v>7359</v>
      </c>
    </row>
    <row r="887" spans="1:14" outlineLevel="6" x14ac:dyDescent="0.4">
      <c r="A887" s="70" t="s">
        <v>404</v>
      </c>
      <c r="B887" s="3" t="s">
        <v>447</v>
      </c>
      <c r="C887" s="3" t="s">
        <v>448</v>
      </c>
      <c r="D887" s="3" t="s">
        <v>565</v>
      </c>
      <c r="E887" s="3" t="s">
        <v>566</v>
      </c>
      <c r="F887" s="3">
        <v>0</v>
      </c>
      <c r="G887" s="3" t="s">
        <v>483</v>
      </c>
      <c r="H887" s="31" t="s">
        <v>567</v>
      </c>
      <c r="I887" s="32">
        <v>150</v>
      </c>
      <c r="J887" s="32">
        <v>2110</v>
      </c>
      <c r="K887" s="40">
        <v>1200</v>
      </c>
      <c r="L887" s="40">
        <v>1200</v>
      </c>
      <c r="M887" s="451">
        <f t="shared" si="163"/>
        <v>1300</v>
      </c>
      <c r="N887" s="417">
        <v>2500</v>
      </c>
    </row>
    <row r="888" spans="1:14" outlineLevel="5" x14ac:dyDescent="0.4">
      <c r="A888" s="70">
        <v>19</v>
      </c>
      <c r="B888" s="3">
        <v>100</v>
      </c>
      <c r="C888" s="3">
        <v>0</v>
      </c>
      <c r="D888" s="3">
        <v>40</v>
      </c>
      <c r="E888" s="3">
        <v>320</v>
      </c>
      <c r="F888" s="3">
        <v>0</v>
      </c>
      <c r="G888" s="3">
        <v>3141</v>
      </c>
      <c r="H888" s="31" t="s">
        <v>412</v>
      </c>
      <c r="I888" s="32">
        <v>0</v>
      </c>
      <c r="J888" s="32">
        <v>100</v>
      </c>
      <c r="K888" s="147">
        <v>2500</v>
      </c>
      <c r="L888" s="40">
        <v>2500</v>
      </c>
      <c r="M888" s="451">
        <f t="shared" si="163"/>
        <v>0</v>
      </c>
      <c r="N888" s="418">
        <v>2500</v>
      </c>
    </row>
    <row r="889" spans="1:14" outlineLevel="6" x14ac:dyDescent="0.4">
      <c r="A889" s="70">
        <v>19</v>
      </c>
      <c r="B889" s="3">
        <v>100</v>
      </c>
      <c r="C889" s="3">
        <v>0</v>
      </c>
      <c r="D889" s="3">
        <v>40</v>
      </c>
      <c r="E889" s="3">
        <v>600</v>
      </c>
      <c r="F889" s="3">
        <v>0</v>
      </c>
      <c r="G889" s="3">
        <v>3141</v>
      </c>
      <c r="H889" s="31" t="s">
        <v>413</v>
      </c>
      <c r="I889" s="32">
        <v>19000</v>
      </c>
      <c r="J889" s="32">
        <v>27699</v>
      </c>
      <c r="K889" s="147">
        <v>25267</v>
      </c>
      <c r="L889" s="40">
        <v>20245</v>
      </c>
      <c r="M889" s="451">
        <f t="shared" si="163"/>
        <v>-5022</v>
      </c>
      <c r="N889" s="418">
        <v>20245</v>
      </c>
    </row>
    <row r="890" spans="1:14" ht="27" outlineLevel="6" thickBot="1" x14ac:dyDescent="0.45">
      <c r="A890" s="70">
        <v>19</v>
      </c>
      <c r="B890" s="3">
        <v>100</v>
      </c>
      <c r="C890" s="3">
        <v>0</v>
      </c>
      <c r="D890" s="3">
        <v>40</v>
      </c>
      <c r="E890" s="3">
        <v>735</v>
      </c>
      <c r="F890" s="3">
        <v>0</v>
      </c>
      <c r="G890" s="3">
        <v>3141</v>
      </c>
      <c r="H890" s="31" t="s">
        <v>414</v>
      </c>
      <c r="I890" s="32">
        <v>1000</v>
      </c>
      <c r="J890" s="32">
        <v>12872</v>
      </c>
      <c r="K890" s="147">
        <v>1000</v>
      </c>
      <c r="L890" s="40">
        <v>1000</v>
      </c>
      <c r="M890" s="451">
        <f t="shared" si="163"/>
        <v>4000</v>
      </c>
      <c r="N890" s="418">
        <v>5000</v>
      </c>
    </row>
    <row r="891" spans="1:14" ht="27" outlineLevel="6" thickBot="1" x14ac:dyDescent="0.45">
      <c r="A891" s="76"/>
      <c r="B891" s="9"/>
      <c r="C891" s="9"/>
      <c r="D891" s="9" t="s">
        <v>112</v>
      </c>
      <c r="E891" s="9"/>
      <c r="F891" s="9"/>
      <c r="G891" s="9"/>
      <c r="H891" s="44"/>
      <c r="I891" s="50">
        <f>SUBTOTAL(9,I872:I890)</f>
        <v>78555</v>
      </c>
      <c r="J891" s="50">
        <f>SUBTOTAL(9,J872:J890)</f>
        <v>124516</v>
      </c>
      <c r="K891" s="43">
        <f>SUBTOTAL(9,K872:K890)</f>
        <v>106772</v>
      </c>
      <c r="L891" s="43">
        <f>SUBTOTAL(9,L872:L890)</f>
        <v>122997</v>
      </c>
      <c r="M891" s="462">
        <f>N891-K891</f>
        <v>34006</v>
      </c>
      <c r="N891" s="237">
        <f>SUBTOTAL(9,N872:N890)</f>
        <v>140778</v>
      </c>
    </row>
    <row r="892" spans="1:14" outlineLevel="6" x14ac:dyDescent="0.4">
      <c r="A892" s="70" t="s">
        <v>404</v>
      </c>
      <c r="B892" s="3" t="s">
        <v>447</v>
      </c>
      <c r="C892" s="3" t="s">
        <v>448</v>
      </c>
      <c r="D892" s="3" t="s">
        <v>481</v>
      </c>
      <c r="E892" s="3" t="s">
        <v>526</v>
      </c>
      <c r="F892" s="3" t="s">
        <v>1268</v>
      </c>
      <c r="G892" s="3" t="s">
        <v>483</v>
      </c>
      <c r="H892" s="31" t="s">
        <v>1308</v>
      </c>
      <c r="I892" s="32">
        <v>0</v>
      </c>
      <c r="J892" s="32">
        <v>3829</v>
      </c>
      <c r="K892" s="40">
        <v>6400</v>
      </c>
      <c r="L892" s="40">
        <v>8500</v>
      </c>
      <c r="M892" s="451">
        <f>N892-K892</f>
        <v>2100</v>
      </c>
      <c r="N892" s="417">
        <v>8500</v>
      </c>
    </row>
    <row r="893" spans="1:14" outlineLevel="6" x14ac:dyDescent="0.4">
      <c r="A893" s="70" t="s">
        <v>404</v>
      </c>
      <c r="B893" s="3" t="s">
        <v>447</v>
      </c>
      <c r="C893" s="3" t="s">
        <v>448</v>
      </c>
      <c r="D893" s="3" t="s">
        <v>481</v>
      </c>
      <c r="E893" s="3" t="s">
        <v>533</v>
      </c>
      <c r="F893" s="3" t="s">
        <v>1268</v>
      </c>
      <c r="G893" s="3" t="s">
        <v>483</v>
      </c>
      <c r="H893" s="31" t="s">
        <v>1309</v>
      </c>
      <c r="I893" s="32">
        <v>0</v>
      </c>
      <c r="J893" s="32">
        <v>1</v>
      </c>
      <c r="K893" s="40">
        <v>20</v>
      </c>
      <c r="L893" s="40">
        <v>26</v>
      </c>
      <c r="M893" s="451">
        <f t="shared" ref="M893:M896" si="164">N893-K893</f>
        <v>6</v>
      </c>
      <c r="N893" s="417">
        <v>26</v>
      </c>
    </row>
    <row r="894" spans="1:14" outlineLevel="6" x14ac:dyDescent="0.4">
      <c r="A894" s="70" t="s">
        <v>404</v>
      </c>
      <c r="B894" s="3" t="s">
        <v>447</v>
      </c>
      <c r="C894" s="3" t="s">
        <v>448</v>
      </c>
      <c r="D894" s="3" t="s">
        <v>481</v>
      </c>
      <c r="E894" s="3" t="s">
        <v>480</v>
      </c>
      <c r="F894" s="3" t="s">
        <v>1268</v>
      </c>
      <c r="G894" s="3" t="s">
        <v>483</v>
      </c>
      <c r="H894" s="31" t="s">
        <v>1310</v>
      </c>
      <c r="I894" s="32">
        <v>0</v>
      </c>
      <c r="J894" s="32">
        <v>56</v>
      </c>
      <c r="K894" s="40">
        <v>93</v>
      </c>
      <c r="L894" s="40">
        <v>124</v>
      </c>
      <c r="M894" s="451">
        <f t="shared" si="164"/>
        <v>31</v>
      </c>
      <c r="N894" s="417">
        <v>124</v>
      </c>
    </row>
    <row r="895" spans="1:14" outlineLevel="6" x14ac:dyDescent="0.4">
      <c r="A895" s="70" t="s">
        <v>404</v>
      </c>
      <c r="B895" s="3" t="s">
        <v>447</v>
      </c>
      <c r="C895" s="3" t="s">
        <v>448</v>
      </c>
      <c r="D895" s="3" t="s">
        <v>481</v>
      </c>
      <c r="E895" s="3" t="s">
        <v>534</v>
      </c>
      <c r="F895" s="3" t="s">
        <v>1268</v>
      </c>
      <c r="G895" s="3" t="s">
        <v>483</v>
      </c>
      <c r="H895" s="31" t="s">
        <v>1311</v>
      </c>
      <c r="I895" s="32">
        <v>0</v>
      </c>
      <c r="J895" s="32">
        <v>731</v>
      </c>
      <c r="K895" s="40">
        <v>1290</v>
      </c>
      <c r="L895" s="40">
        <v>1734</v>
      </c>
      <c r="M895" s="451">
        <f t="shared" si="164"/>
        <v>444</v>
      </c>
      <c r="N895" s="417">
        <v>1734</v>
      </c>
    </row>
    <row r="896" spans="1:14" ht="27" outlineLevel="6" thickBot="1" x14ac:dyDescent="0.45">
      <c r="A896" s="70" t="s">
        <v>404</v>
      </c>
      <c r="B896" s="3" t="s">
        <v>447</v>
      </c>
      <c r="C896" s="3" t="s">
        <v>448</v>
      </c>
      <c r="D896" s="3" t="s">
        <v>481</v>
      </c>
      <c r="E896" s="3" t="s">
        <v>611</v>
      </c>
      <c r="F896" s="3" t="s">
        <v>448</v>
      </c>
      <c r="G896" s="3" t="s">
        <v>483</v>
      </c>
      <c r="H896" s="31" t="s">
        <v>489</v>
      </c>
      <c r="I896" s="32">
        <v>689</v>
      </c>
      <c r="J896" s="32">
        <v>0</v>
      </c>
      <c r="K896" s="40">
        <v>1000</v>
      </c>
      <c r="L896" s="40">
        <v>0</v>
      </c>
      <c r="M896" s="451">
        <f t="shared" si="164"/>
        <v>-1000</v>
      </c>
      <c r="N896" s="417">
        <v>0</v>
      </c>
    </row>
    <row r="897" spans="1:15" ht="27" outlineLevel="6" thickBot="1" x14ac:dyDescent="0.45">
      <c r="A897" s="76"/>
      <c r="B897" s="9"/>
      <c r="C897" s="9"/>
      <c r="D897" s="9" t="s">
        <v>481</v>
      </c>
      <c r="E897" s="9"/>
      <c r="F897" s="9"/>
      <c r="G897" s="9"/>
      <c r="H897" s="44"/>
      <c r="I897" s="50">
        <f>SUBTOTAL(9,I896:I896)</f>
        <v>689</v>
      </c>
      <c r="J897" s="50">
        <f>SUBTOTAL(9,J892:J896)</f>
        <v>4617</v>
      </c>
      <c r="K897" s="43">
        <f>SUBTOTAL(9,K892:K896)</f>
        <v>8803</v>
      </c>
      <c r="L897" s="43">
        <f>SUBTOTAL(9,L892:L896)</f>
        <v>10384</v>
      </c>
      <c r="M897" s="462">
        <f>N897-K897</f>
        <v>1581</v>
      </c>
      <c r="N897" s="237">
        <f>SUBTOTAL(9,N892:N896)</f>
        <v>10384</v>
      </c>
    </row>
    <row r="898" spans="1:15" ht="27" outlineLevel="6" thickBot="1" x14ac:dyDescent="0.45">
      <c r="A898" s="70">
        <v>19</v>
      </c>
      <c r="B898" s="3">
        <v>100</v>
      </c>
      <c r="C898" s="3">
        <v>0</v>
      </c>
      <c r="D898" s="3">
        <v>2213</v>
      </c>
      <c r="E898" s="3">
        <v>580</v>
      </c>
      <c r="F898" s="3">
        <v>0</v>
      </c>
      <c r="G898" s="3">
        <v>3141</v>
      </c>
      <c r="H898" s="31" t="s">
        <v>1442</v>
      </c>
      <c r="I898" s="32">
        <v>0</v>
      </c>
      <c r="J898" s="32">
        <v>482</v>
      </c>
      <c r="K898" s="40">
        <v>19000</v>
      </c>
      <c r="L898" s="40">
        <v>2000</v>
      </c>
      <c r="M898" s="451">
        <f>N898-K898</f>
        <v>-16000</v>
      </c>
      <c r="N898" s="417">
        <v>3000</v>
      </c>
    </row>
    <row r="899" spans="1:15" ht="27" outlineLevel="6" thickBot="1" x14ac:dyDescent="0.45">
      <c r="A899" s="76"/>
      <c r="B899" s="9"/>
      <c r="C899" s="9"/>
      <c r="D899" s="9" t="s">
        <v>269</v>
      </c>
      <c r="E899" s="9"/>
      <c r="F899" s="9"/>
      <c r="G899" s="9"/>
      <c r="H899" s="44"/>
      <c r="I899" s="50">
        <f>SUBTOTAL(9,I898:I898)</f>
        <v>0</v>
      </c>
      <c r="J899" s="50">
        <f>SUBTOTAL(9,J898:J898)</f>
        <v>482</v>
      </c>
      <c r="K899" s="43">
        <f>SUBTOTAL(9,K898:K898)</f>
        <v>19000</v>
      </c>
      <c r="L899" s="43">
        <f>SUBTOTAL(9,L898:L898)</f>
        <v>2000</v>
      </c>
      <c r="M899" s="462">
        <f>N899-K899</f>
        <v>-16000</v>
      </c>
      <c r="N899" s="237">
        <f>SUBTOTAL(9,N898:N898)</f>
        <v>3000</v>
      </c>
    </row>
    <row r="900" spans="1:15" outlineLevel="6" x14ac:dyDescent="0.4">
      <c r="A900" s="70" t="s">
        <v>404</v>
      </c>
      <c r="B900" s="3" t="s">
        <v>447</v>
      </c>
      <c r="C900" s="3" t="s">
        <v>448</v>
      </c>
      <c r="D900" s="3" t="s">
        <v>1312</v>
      </c>
      <c r="E900" s="3" t="s">
        <v>1275</v>
      </c>
      <c r="F900" s="3" t="s">
        <v>1313</v>
      </c>
      <c r="G900" s="3" t="s">
        <v>483</v>
      </c>
      <c r="H900" s="31" t="s">
        <v>1314</v>
      </c>
      <c r="I900" s="32">
        <v>0</v>
      </c>
      <c r="J900" s="32">
        <v>10000</v>
      </c>
      <c r="K900" s="40">
        <v>10000</v>
      </c>
      <c r="L900" s="40">
        <f>7000+6971</f>
        <v>13971</v>
      </c>
      <c r="M900" s="451">
        <f>N900-K900</f>
        <v>-1862</v>
      </c>
      <c r="N900" s="417">
        <v>8138</v>
      </c>
      <c r="O900" s="29" t="s">
        <v>1560</v>
      </c>
    </row>
    <row r="901" spans="1:15" outlineLevel="6" x14ac:dyDescent="0.4">
      <c r="A901" s="70" t="s">
        <v>404</v>
      </c>
      <c r="B901" s="3" t="s">
        <v>447</v>
      </c>
      <c r="C901" s="3" t="s">
        <v>448</v>
      </c>
      <c r="D901" s="3" t="s">
        <v>1312</v>
      </c>
      <c r="E901" s="3" t="s">
        <v>455</v>
      </c>
      <c r="F901" s="3" t="s">
        <v>1313</v>
      </c>
      <c r="G901" s="3" t="s">
        <v>483</v>
      </c>
      <c r="H901" s="31" t="s">
        <v>1558</v>
      </c>
      <c r="I901" s="32">
        <v>0</v>
      </c>
      <c r="J901" s="32">
        <v>0</v>
      </c>
      <c r="K901" s="40">
        <v>0</v>
      </c>
      <c r="L901" s="40">
        <v>12</v>
      </c>
      <c r="M901" s="451">
        <f t="shared" ref="M901:M905" si="165">N901-K901</f>
        <v>12</v>
      </c>
      <c r="N901" s="417">
        <v>12</v>
      </c>
    </row>
    <row r="902" spans="1:15" outlineLevel="6" x14ac:dyDescent="0.4">
      <c r="A902" s="70" t="s">
        <v>404</v>
      </c>
      <c r="B902" s="3" t="s">
        <v>447</v>
      </c>
      <c r="C902" s="3" t="s">
        <v>448</v>
      </c>
      <c r="D902" s="3" t="s">
        <v>1312</v>
      </c>
      <c r="E902" s="3" t="s">
        <v>533</v>
      </c>
      <c r="F902" s="3" t="s">
        <v>1313</v>
      </c>
      <c r="G902" s="3" t="s">
        <v>483</v>
      </c>
      <c r="H902" s="31" t="s">
        <v>1317</v>
      </c>
      <c r="I902" s="32">
        <v>0</v>
      </c>
      <c r="J902" s="32">
        <v>28</v>
      </c>
      <c r="K902" s="40">
        <v>30</v>
      </c>
      <c r="L902" s="40">
        <v>42</v>
      </c>
      <c r="M902" s="451">
        <f t="shared" si="165"/>
        <v>-5</v>
      </c>
      <c r="N902" s="417">
        <v>25</v>
      </c>
    </row>
    <row r="903" spans="1:15" outlineLevel="6" x14ac:dyDescent="0.4">
      <c r="A903" s="70" t="s">
        <v>404</v>
      </c>
      <c r="B903" s="3" t="s">
        <v>447</v>
      </c>
      <c r="C903" s="3" t="s">
        <v>448</v>
      </c>
      <c r="D903" s="3" t="s">
        <v>1312</v>
      </c>
      <c r="E903" s="3" t="s">
        <v>480</v>
      </c>
      <c r="F903" s="3" t="s">
        <v>1313</v>
      </c>
      <c r="G903" s="3" t="s">
        <v>483</v>
      </c>
      <c r="H903" s="31" t="s">
        <v>1318</v>
      </c>
      <c r="I903" s="32">
        <v>0</v>
      </c>
      <c r="J903" s="32">
        <v>137</v>
      </c>
      <c r="K903" s="40">
        <v>145</v>
      </c>
      <c r="L903" s="40">
        <v>203</v>
      </c>
      <c r="M903" s="451">
        <f t="shared" si="165"/>
        <v>-27</v>
      </c>
      <c r="N903" s="417">
        <v>118</v>
      </c>
    </row>
    <row r="904" spans="1:15" outlineLevel="6" x14ac:dyDescent="0.4">
      <c r="A904" s="70" t="s">
        <v>404</v>
      </c>
      <c r="B904" s="3" t="s">
        <v>447</v>
      </c>
      <c r="C904" s="3" t="s">
        <v>448</v>
      </c>
      <c r="D904" s="3" t="s">
        <v>1312</v>
      </c>
      <c r="E904" s="3" t="s">
        <v>534</v>
      </c>
      <c r="F904" s="3" t="s">
        <v>1313</v>
      </c>
      <c r="G904" s="3" t="s">
        <v>483</v>
      </c>
      <c r="H904" s="31" t="s">
        <v>1319</v>
      </c>
      <c r="I904" s="32">
        <v>0</v>
      </c>
      <c r="J904" s="32">
        <v>1903</v>
      </c>
      <c r="K904" s="40">
        <v>2015</v>
      </c>
      <c r="L904" s="40">
        <v>2850</v>
      </c>
      <c r="M904" s="451">
        <f t="shared" si="165"/>
        <v>-354</v>
      </c>
      <c r="N904" s="417">
        <v>1661</v>
      </c>
    </row>
    <row r="905" spans="1:15" ht="27" outlineLevel="6" thickBot="1" x14ac:dyDescent="0.45">
      <c r="A905" s="70" t="s">
        <v>404</v>
      </c>
      <c r="B905" s="3" t="s">
        <v>447</v>
      </c>
      <c r="C905" s="3" t="s">
        <v>448</v>
      </c>
      <c r="D905" s="3" t="s">
        <v>1312</v>
      </c>
      <c r="E905" s="3" t="s">
        <v>450</v>
      </c>
      <c r="F905" s="3" t="s">
        <v>1313</v>
      </c>
      <c r="G905" s="3" t="s">
        <v>483</v>
      </c>
      <c r="H905" s="31" t="s">
        <v>1559</v>
      </c>
      <c r="I905" s="32">
        <v>0</v>
      </c>
      <c r="J905" s="32">
        <v>0</v>
      </c>
      <c r="K905" s="40">
        <v>0</v>
      </c>
      <c r="L905" s="40">
        <v>1150</v>
      </c>
      <c r="M905" s="451">
        <f t="shared" si="165"/>
        <v>1150</v>
      </c>
      <c r="N905" s="417">
        <v>1150</v>
      </c>
      <c r="O905" s="29" t="s">
        <v>1552</v>
      </c>
    </row>
    <row r="906" spans="1:15" ht="27" outlineLevel="6" thickBot="1" x14ac:dyDescent="0.45">
      <c r="A906" s="76"/>
      <c r="B906" s="9"/>
      <c r="C906" s="9"/>
      <c r="D906" s="9" t="s">
        <v>484</v>
      </c>
      <c r="E906" s="9"/>
      <c r="F906" s="9"/>
      <c r="G906" s="9"/>
      <c r="H906" s="44"/>
      <c r="I906" s="50">
        <f>SUBTOTAL(9,I900:I904)</f>
        <v>0</v>
      </c>
      <c r="J906" s="50">
        <f>SUBTOTAL(9,J900:J905)</f>
        <v>12068</v>
      </c>
      <c r="K906" s="43">
        <f>SUBTOTAL(9,K900:K905)</f>
        <v>12190</v>
      </c>
      <c r="L906" s="43">
        <f>SUBTOTAL(9,L900:L905)</f>
        <v>18228</v>
      </c>
      <c r="M906" s="462">
        <f t="shared" ref="M906:M920" si="166">N906-K906</f>
        <v>-1086</v>
      </c>
      <c r="N906" s="237">
        <f>SUBTOTAL(9,N900:N905)</f>
        <v>11104</v>
      </c>
    </row>
    <row r="907" spans="1:15" ht="27" outlineLevel="6" thickBot="1" x14ac:dyDescent="0.45">
      <c r="A907" s="70" t="s">
        <v>404</v>
      </c>
      <c r="B907" s="3" t="s">
        <v>447</v>
      </c>
      <c r="C907" s="3" t="s">
        <v>448</v>
      </c>
      <c r="D907" s="3" t="s">
        <v>484</v>
      </c>
      <c r="E907" s="3" t="s">
        <v>485</v>
      </c>
      <c r="F907" s="3" t="s">
        <v>448</v>
      </c>
      <c r="G907" s="3" t="s">
        <v>483</v>
      </c>
      <c r="H907" s="31" t="s">
        <v>486</v>
      </c>
      <c r="I907" s="32">
        <v>5677</v>
      </c>
      <c r="J907" s="32">
        <v>8485</v>
      </c>
      <c r="K907" s="40">
        <v>8400</v>
      </c>
      <c r="L907" s="40">
        <v>8132</v>
      </c>
      <c r="M907" s="451">
        <f t="shared" si="166"/>
        <v>-62</v>
      </c>
      <c r="N907" s="417">
        <v>8338</v>
      </c>
    </row>
    <row r="908" spans="1:15" ht="27" outlineLevel="6" thickBot="1" x14ac:dyDescent="0.45">
      <c r="A908" s="76"/>
      <c r="B908" s="9"/>
      <c r="C908" s="9"/>
      <c r="D908" s="9" t="s">
        <v>484</v>
      </c>
      <c r="E908" s="9"/>
      <c r="F908" s="9"/>
      <c r="G908" s="9"/>
      <c r="H908" s="44"/>
      <c r="I908" s="50">
        <f>SUBTOTAL(9,I907:I907)</f>
        <v>5677</v>
      </c>
      <c r="J908" s="50">
        <f>SUBTOTAL(9,J907:J907)</f>
        <v>8485</v>
      </c>
      <c r="K908" s="43">
        <f>SUBTOTAL(9,K907:K907)</f>
        <v>8400</v>
      </c>
      <c r="L908" s="43">
        <f>SUBTOTAL(9,L907:L907)</f>
        <v>8132</v>
      </c>
      <c r="M908" s="462">
        <f t="shared" si="166"/>
        <v>-62</v>
      </c>
      <c r="N908" s="237">
        <f>SUBTOTAL(9,N907:N907)</f>
        <v>8338</v>
      </c>
    </row>
    <row r="909" spans="1:15" ht="27" outlineLevel="5" thickBot="1" x14ac:dyDescent="0.45">
      <c r="A909" s="70">
        <v>19</v>
      </c>
      <c r="B909" s="3">
        <v>100</v>
      </c>
      <c r="C909" s="3">
        <v>0</v>
      </c>
      <c r="D909" s="3">
        <v>2600</v>
      </c>
      <c r="E909" s="3">
        <v>340</v>
      </c>
      <c r="F909" s="3">
        <v>0</v>
      </c>
      <c r="G909" s="3">
        <v>3141</v>
      </c>
      <c r="H909" s="31" t="s">
        <v>415</v>
      </c>
      <c r="I909" s="32">
        <v>0</v>
      </c>
      <c r="J909" s="32">
        <v>0</v>
      </c>
      <c r="K909" s="40">
        <v>0</v>
      </c>
      <c r="L909" s="40">
        <v>0</v>
      </c>
      <c r="M909" s="451">
        <f t="shared" si="166"/>
        <v>0</v>
      </c>
      <c r="N909" s="417">
        <v>0</v>
      </c>
    </row>
    <row r="910" spans="1:15" ht="27" outlineLevel="6" thickBot="1" x14ac:dyDescent="0.45">
      <c r="A910" s="76"/>
      <c r="B910" s="9"/>
      <c r="C910" s="9"/>
      <c r="D910" s="9" t="s">
        <v>378</v>
      </c>
      <c r="E910" s="9"/>
      <c r="F910" s="9"/>
      <c r="G910" s="9"/>
      <c r="H910" s="44"/>
      <c r="I910" s="50">
        <f>SUBTOTAL(9,I909:I909)</f>
        <v>0</v>
      </c>
      <c r="J910" s="50">
        <f>SUBTOTAL(9,J909:J909)</f>
        <v>0</v>
      </c>
      <c r="K910" s="43">
        <f>SUBTOTAL(9,K909:K909)</f>
        <v>0</v>
      </c>
      <c r="L910" s="43">
        <f>SUBTOTAL(9,L909:L909)</f>
        <v>0</v>
      </c>
      <c r="M910" s="462">
        <f t="shared" si="166"/>
        <v>0</v>
      </c>
      <c r="N910" s="237">
        <f>SUBTOTAL(9,N909:N909)</f>
        <v>0</v>
      </c>
    </row>
    <row r="911" spans="1:15" ht="27" outlineLevel="6" thickBot="1" x14ac:dyDescent="0.45">
      <c r="A911" s="70" t="s">
        <v>404</v>
      </c>
      <c r="B911" s="3" t="s">
        <v>447</v>
      </c>
      <c r="C911" s="3" t="s">
        <v>448</v>
      </c>
      <c r="D911" s="3" t="s">
        <v>487</v>
      </c>
      <c r="E911" s="3" t="s">
        <v>488</v>
      </c>
      <c r="F911" s="3" t="s">
        <v>437</v>
      </c>
      <c r="G911" s="3" t="s">
        <v>483</v>
      </c>
      <c r="H911" s="31" t="s">
        <v>490</v>
      </c>
      <c r="I911" s="32">
        <v>4472</v>
      </c>
      <c r="J911" s="32">
        <v>0</v>
      </c>
      <c r="K911" s="40">
        <v>0</v>
      </c>
      <c r="L911" s="40">
        <v>0</v>
      </c>
      <c r="M911" s="451">
        <f t="shared" si="166"/>
        <v>0</v>
      </c>
      <c r="N911" s="417">
        <v>0</v>
      </c>
    </row>
    <row r="912" spans="1:15" ht="27" outlineLevel="6" thickBot="1" x14ac:dyDescent="0.45">
      <c r="A912" s="76"/>
      <c r="B912" s="9"/>
      <c r="C912" s="9"/>
      <c r="D912" s="9" t="s">
        <v>493</v>
      </c>
      <c r="E912" s="9"/>
      <c r="F912" s="9"/>
      <c r="G912" s="9"/>
      <c r="H912" s="44"/>
      <c r="I912" s="50">
        <f>SUBTOTAL(9,I911:I911)</f>
        <v>4472</v>
      </c>
      <c r="J912" s="50">
        <f>SUBTOTAL(9,J911:J911)</f>
        <v>0</v>
      </c>
      <c r="K912" s="43">
        <f>SUBTOTAL(9,K911:K911)</f>
        <v>0</v>
      </c>
      <c r="L912" s="43">
        <f>SUBTOTAL(9,L911:L911)</f>
        <v>0</v>
      </c>
      <c r="M912" s="462">
        <f t="shared" si="166"/>
        <v>0</v>
      </c>
      <c r="N912" s="237">
        <f>SUBTOTAL(9,N911:N911)</f>
        <v>0</v>
      </c>
    </row>
    <row r="913" spans="1:14" ht="27" outlineLevel="6" thickBot="1" x14ac:dyDescent="0.45">
      <c r="A913" s="70">
        <v>19</v>
      </c>
      <c r="B913" s="3">
        <v>100</v>
      </c>
      <c r="C913" s="3">
        <v>0</v>
      </c>
      <c r="D913" s="3">
        <v>3100</v>
      </c>
      <c r="E913" s="3">
        <v>340</v>
      </c>
      <c r="F913" s="3">
        <v>0</v>
      </c>
      <c r="G913" s="3">
        <v>3141</v>
      </c>
      <c r="H913" s="31" t="s">
        <v>415</v>
      </c>
      <c r="I913" s="32">
        <v>0</v>
      </c>
      <c r="J913" s="32">
        <v>0</v>
      </c>
      <c r="K913" s="40">
        <v>0</v>
      </c>
      <c r="L913" s="40">
        <v>0</v>
      </c>
      <c r="M913" s="451">
        <f t="shared" si="166"/>
        <v>0</v>
      </c>
      <c r="N913" s="417">
        <v>0</v>
      </c>
    </row>
    <row r="914" spans="1:14" ht="27" outlineLevel="6" thickBot="1" x14ac:dyDescent="0.45">
      <c r="A914" s="76"/>
      <c r="B914" s="9"/>
      <c r="C914" s="9"/>
      <c r="D914" s="9" t="s">
        <v>395</v>
      </c>
      <c r="E914" s="9"/>
      <c r="F914" s="9"/>
      <c r="G914" s="9"/>
      <c r="H914" s="44"/>
      <c r="I914" s="50">
        <f>SUBTOTAL(9,I913:I913)</f>
        <v>0</v>
      </c>
      <c r="J914" s="50">
        <f>SUBTOTAL(9,J913:J913)</f>
        <v>0</v>
      </c>
      <c r="K914" s="43">
        <f>SUBTOTAL(9,K913:K913)</f>
        <v>0</v>
      </c>
      <c r="L914" s="43">
        <f>SUBTOTAL(9,L913:L913)</f>
        <v>0</v>
      </c>
      <c r="M914" s="462">
        <f t="shared" si="166"/>
        <v>0</v>
      </c>
      <c r="N914" s="237">
        <f>SUBTOTAL(9,N913:N913)</f>
        <v>0</v>
      </c>
    </row>
    <row r="915" spans="1:14" ht="27" outlineLevel="6" thickBot="1" x14ac:dyDescent="0.45">
      <c r="A915" s="70" t="s">
        <v>404</v>
      </c>
      <c r="B915" s="3" t="s">
        <v>447</v>
      </c>
      <c r="C915" s="3" t="s">
        <v>448</v>
      </c>
      <c r="D915" s="3" t="s">
        <v>491</v>
      </c>
      <c r="E915" s="3" t="s">
        <v>492</v>
      </c>
      <c r="F915" s="3" t="s">
        <v>437</v>
      </c>
      <c r="G915" s="3" t="s">
        <v>483</v>
      </c>
      <c r="H915" s="31" t="s">
        <v>2452</v>
      </c>
      <c r="I915" s="32">
        <f>5327+17126+30506</f>
        <v>52959</v>
      </c>
      <c r="J915" s="32">
        <v>0</v>
      </c>
      <c r="K915" s="147">
        <v>3000</v>
      </c>
      <c r="L915" s="40">
        <v>2000</v>
      </c>
      <c r="M915" s="451">
        <f t="shared" si="166"/>
        <v>-466</v>
      </c>
      <c r="N915" s="418">
        <v>2534</v>
      </c>
    </row>
    <row r="916" spans="1:14" ht="27" outlineLevel="6" thickBot="1" x14ac:dyDescent="0.45">
      <c r="A916" s="76"/>
      <c r="B916" s="9"/>
      <c r="C916" s="9"/>
      <c r="D916" s="9" t="s">
        <v>491</v>
      </c>
      <c r="E916" s="9"/>
      <c r="F916" s="9"/>
      <c r="G916" s="9"/>
      <c r="H916" s="44"/>
      <c r="I916" s="50">
        <f>SUBTOTAL(9,I915:I915)</f>
        <v>52959</v>
      </c>
      <c r="J916" s="50">
        <f>SUBTOTAL(9,J915:J915)</f>
        <v>0</v>
      </c>
      <c r="K916" s="43">
        <f>SUBTOTAL(9,K915:K915)</f>
        <v>3000</v>
      </c>
      <c r="L916" s="43">
        <f>SUBTOTAL(9,L915:L915)</f>
        <v>2000</v>
      </c>
      <c r="M916" s="462">
        <f t="shared" si="166"/>
        <v>-466</v>
      </c>
      <c r="N916" s="237">
        <f>SUBTOTAL(9,N915:N915)</f>
        <v>2534</v>
      </c>
    </row>
    <row r="917" spans="1:14" ht="27" outlineLevel="6" thickBot="1" x14ac:dyDescent="0.45">
      <c r="A917" s="70">
        <v>19</v>
      </c>
      <c r="B917" s="3">
        <v>100</v>
      </c>
      <c r="C917" s="3">
        <v>0</v>
      </c>
      <c r="D917" s="3">
        <v>9100</v>
      </c>
      <c r="E917" s="3">
        <v>900</v>
      </c>
      <c r="F917" s="3">
        <v>0</v>
      </c>
      <c r="G917" s="3">
        <v>3141</v>
      </c>
      <c r="H917" s="31" t="s">
        <v>1320</v>
      </c>
      <c r="I917" s="32">
        <v>0</v>
      </c>
      <c r="J917" s="32">
        <v>39725</v>
      </c>
      <c r="K917" s="39">
        <v>25200</v>
      </c>
      <c r="L917" s="40">
        <v>24395</v>
      </c>
      <c r="M917" s="451">
        <f t="shared" si="166"/>
        <v>-187</v>
      </c>
      <c r="N917" s="421">
        <v>25013</v>
      </c>
    </row>
    <row r="918" spans="1:14" ht="27" outlineLevel="6" thickBot="1" x14ac:dyDescent="0.45">
      <c r="A918" s="76"/>
      <c r="B918" s="9"/>
      <c r="C918" s="9"/>
      <c r="D918" s="9" t="s">
        <v>399</v>
      </c>
      <c r="E918" s="9"/>
      <c r="F918" s="9"/>
      <c r="G918" s="9"/>
      <c r="H918" s="44"/>
      <c r="I918" s="50">
        <f>SUBTOTAL(9,I917:I917)</f>
        <v>0</v>
      </c>
      <c r="J918" s="50">
        <f>SUBTOTAL(9,J917:J917)</f>
        <v>39725</v>
      </c>
      <c r="K918" s="43">
        <f>SUBTOTAL(9,K917:K917)</f>
        <v>25200</v>
      </c>
      <c r="L918" s="43">
        <f>SUBTOTAL(9,L917:L917)</f>
        <v>24395</v>
      </c>
      <c r="M918" s="462">
        <f t="shared" si="166"/>
        <v>-187</v>
      </c>
      <c r="N918" s="237">
        <f>SUBTOTAL(9,N917:N917)</f>
        <v>25013</v>
      </c>
    </row>
    <row r="919" spans="1:14" ht="27" outlineLevel="6" thickBot="1" x14ac:dyDescent="0.45">
      <c r="A919" s="160"/>
      <c r="B919" s="161" t="s">
        <v>105</v>
      </c>
      <c r="C919" s="162"/>
      <c r="D919" s="162"/>
      <c r="E919" s="162"/>
      <c r="F919" s="162"/>
      <c r="G919" s="162"/>
      <c r="H919" s="163"/>
      <c r="I919" s="164">
        <f>SUBTOTAL(9,I863:I918)</f>
        <v>150071</v>
      </c>
      <c r="J919" s="164">
        <f>SUBTOTAL(9,J863:J918)</f>
        <v>199098</v>
      </c>
      <c r="K919" s="165">
        <f>SUBTOTAL(9,K863:K918)</f>
        <v>197365</v>
      </c>
      <c r="L919" s="165">
        <f>SUBTOTAL(9,L872:L918)</f>
        <v>188136</v>
      </c>
      <c r="M919" s="463">
        <f t="shared" si="166"/>
        <v>3786</v>
      </c>
      <c r="N919" s="426">
        <f>SUBTOTAL(9,N863:N918)</f>
        <v>201151</v>
      </c>
    </row>
    <row r="920" spans="1:14" ht="27" outlineLevel="6" thickBot="1" x14ac:dyDescent="0.45">
      <c r="A920" s="79" t="s">
        <v>445</v>
      </c>
      <c r="B920" s="12"/>
      <c r="C920" s="12"/>
      <c r="D920" s="12"/>
      <c r="E920" s="12"/>
      <c r="F920" s="12"/>
      <c r="G920" s="12"/>
      <c r="H920" s="57"/>
      <c r="I920" s="58">
        <f>SUBTOTAL(9,I863:I918)</f>
        <v>150071</v>
      </c>
      <c r="J920" s="58">
        <f>SUBTOTAL(9,J863:J918)</f>
        <v>199098</v>
      </c>
      <c r="K920" s="59">
        <f>SUBTOTAL(9,K863:K919)</f>
        <v>197365</v>
      </c>
      <c r="L920" s="59">
        <f>SUBTOTAL(9,L863:L918)</f>
        <v>188136</v>
      </c>
      <c r="M920" s="460">
        <f t="shared" si="166"/>
        <v>3786</v>
      </c>
      <c r="N920" s="429">
        <f>SUBTOTAL(9,N863:N919)</f>
        <v>201151</v>
      </c>
    </row>
    <row r="921" spans="1:14" ht="27" outlineLevel="5" x14ac:dyDescent="0.45">
      <c r="A921" s="177" t="s">
        <v>468</v>
      </c>
      <c r="B921" s="178"/>
      <c r="C921" s="178"/>
      <c r="D921" s="178"/>
      <c r="E921" s="178"/>
      <c r="F921" s="178"/>
      <c r="G921" s="178"/>
      <c r="H921" s="179"/>
      <c r="I921" s="179"/>
      <c r="J921" s="179"/>
      <c r="K921" s="352"/>
      <c r="L921" s="180"/>
      <c r="M921" s="181"/>
      <c r="N921" s="430"/>
    </row>
    <row r="922" spans="1:14" outlineLevel="6" x14ac:dyDescent="0.4">
      <c r="A922" s="66" t="s">
        <v>416</v>
      </c>
      <c r="B922" s="3">
        <v>0</v>
      </c>
      <c r="C922" s="3">
        <v>0</v>
      </c>
      <c r="D922" s="3">
        <v>0</v>
      </c>
      <c r="E922" s="3">
        <v>1</v>
      </c>
      <c r="F922" s="3">
        <v>0</v>
      </c>
      <c r="G922" s="3">
        <v>0</v>
      </c>
      <c r="H922" s="31" t="s">
        <v>1151</v>
      </c>
      <c r="I922" s="32">
        <v>0</v>
      </c>
      <c r="J922" s="32">
        <v>22721</v>
      </c>
      <c r="K922" s="40">
        <v>22721</v>
      </c>
      <c r="L922" s="40">
        <v>20000</v>
      </c>
      <c r="M922" s="451">
        <f>N922-K922</f>
        <v>-923</v>
      </c>
      <c r="N922" s="417">
        <v>21798</v>
      </c>
    </row>
    <row r="923" spans="1:14" outlineLevel="6" x14ac:dyDescent="0.4">
      <c r="A923" s="66" t="s">
        <v>416</v>
      </c>
      <c r="B923" s="3">
        <v>0</v>
      </c>
      <c r="C923" s="3">
        <v>0</v>
      </c>
      <c r="D923" s="3">
        <v>0</v>
      </c>
      <c r="E923" s="3">
        <v>1500</v>
      </c>
      <c r="F923" s="3">
        <v>0</v>
      </c>
      <c r="G923" s="3">
        <v>0</v>
      </c>
      <c r="H923" s="31" t="s">
        <v>417</v>
      </c>
      <c r="I923" s="32">
        <v>27</v>
      </c>
      <c r="J923" s="32">
        <v>49</v>
      </c>
      <c r="K923" s="40">
        <v>30</v>
      </c>
      <c r="L923" s="40">
        <v>40</v>
      </c>
      <c r="M923" s="451">
        <f t="shared" ref="M923:M933" si="167">N923-K923</f>
        <v>10</v>
      </c>
      <c r="N923" s="417">
        <v>40</v>
      </c>
    </row>
    <row r="924" spans="1:14" outlineLevel="6" x14ac:dyDescent="0.4">
      <c r="A924" s="66" t="s">
        <v>416</v>
      </c>
      <c r="B924" s="3">
        <v>0</v>
      </c>
      <c r="C924" s="3">
        <v>0</v>
      </c>
      <c r="D924" s="3">
        <v>0</v>
      </c>
      <c r="E924" s="3">
        <v>1621</v>
      </c>
      <c r="F924" s="3">
        <v>0</v>
      </c>
      <c r="G924" s="3">
        <v>0</v>
      </c>
      <c r="H924" s="31" t="s">
        <v>1347</v>
      </c>
      <c r="I924" s="32">
        <v>4272</v>
      </c>
      <c r="J924" s="32">
        <v>9635</v>
      </c>
      <c r="K924" s="40">
        <v>7000</v>
      </c>
      <c r="L924" s="40">
        <v>9000</v>
      </c>
      <c r="M924" s="451">
        <f t="shared" si="167"/>
        <v>2000</v>
      </c>
      <c r="N924" s="417">
        <v>9000</v>
      </c>
    </row>
    <row r="925" spans="1:14" outlineLevel="6" x14ac:dyDescent="0.4">
      <c r="A925" s="66" t="s">
        <v>416</v>
      </c>
      <c r="B925" s="3">
        <v>0</v>
      </c>
      <c r="C925" s="3">
        <v>0</v>
      </c>
      <c r="D925" s="3">
        <v>0</v>
      </c>
      <c r="E925" s="3" t="s">
        <v>2290</v>
      </c>
      <c r="F925" s="3">
        <v>0</v>
      </c>
      <c r="G925" s="3">
        <v>0</v>
      </c>
      <c r="H925" s="31" t="s">
        <v>2291</v>
      </c>
      <c r="I925" s="32">
        <v>0</v>
      </c>
      <c r="J925" s="32">
        <v>405</v>
      </c>
      <c r="K925" s="40">
        <v>0</v>
      </c>
      <c r="L925" s="40">
        <v>0</v>
      </c>
      <c r="M925" s="451">
        <f t="shared" ref="M925" si="168">N925-K925</f>
        <v>35</v>
      </c>
      <c r="N925" s="417">
        <v>35</v>
      </c>
    </row>
    <row r="926" spans="1:14" outlineLevel="6" x14ac:dyDescent="0.4">
      <c r="A926" s="66" t="s">
        <v>416</v>
      </c>
      <c r="B926" s="3">
        <v>0</v>
      </c>
      <c r="C926" s="3">
        <v>0</v>
      </c>
      <c r="D926" s="3">
        <v>0</v>
      </c>
      <c r="E926" s="3">
        <v>1900</v>
      </c>
      <c r="F926" s="3">
        <v>0</v>
      </c>
      <c r="G926" s="3">
        <v>0</v>
      </c>
      <c r="H926" s="31" t="s">
        <v>418</v>
      </c>
      <c r="I926" s="32">
        <v>395</v>
      </c>
      <c r="J926" s="32">
        <v>12</v>
      </c>
      <c r="K926" s="147">
        <v>258</v>
      </c>
      <c r="L926" s="40">
        <v>0</v>
      </c>
      <c r="M926" s="451">
        <f t="shared" si="167"/>
        <v>-258</v>
      </c>
      <c r="N926" s="418">
        <v>0</v>
      </c>
    </row>
    <row r="927" spans="1:14" outlineLevel="6" x14ac:dyDescent="0.4">
      <c r="A927" s="66" t="s">
        <v>416</v>
      </c>
      <c r="B927" s="3">
        <v>0</v>
      </c>
      <c r="C927" s="3">
        <v>0</v>
      </c>
      <c r="D927" s="3">
        <v>0</v>
      </c>
      <c r="E927" s="3" t="s">
        <v>2289</v>
      </c>
      <c r="F927" s="3">
        <v>0</v>
      </c>
      <c r="G927" s="3">
        <v>0</v>
      </c>
      <c r="H927" s="31" t="s">
        <v>418</v>
      </c>
      <c r="I927" s="32">
        <v>395</v>
      </c>
      <c r="J927" s="32">
        <v>246</v>
      </c>
      <c r="K927" s="147">
        <v>0</v>
      </c>
      <c r="L927" s="40">
        <v>0</v>
      </c>
      <c r="M927" s="451">
        <f t="shared" ref="M927" si="169">N927-K927</f>
        <v>0</v>
      </c>
      <c r="N927" s="418">
        <v>0</v>
      </c>
    </row>
    <row r="928" spans="1:14" outlineLevel="6" x14ac:dyDescent="0.4">
      <c r="A928" s="66" t="s">
        <v>416</v>
      </c>
      <c r="B928" s="3">
        <v>0</v>
      </c>
      <c r="C928" s="3">
        <v>0</v>
      </c>
      <c r="D928" s="3">
        <v>0</v>
      </c>
      <c r="E928" s="3">
        <v>3000</v>
      </c>
      <c r="F928" s="3">
        <v>0</v>
      </c>
      <c r="G928" s="3">
        <v>3161</v>
      </c>
      <c r="H928" s="31" t="s">
        <v>54</v>
      </c>
      <c r="I928" s="32">
        <v>492</v>
      </c>
      <c r="J928" s="32">
        <v>629</v>
      </c>
      <c r="K928" s="147">
        <v>490</v>
      </c>
      <c r="L928" s="40">
        <v>600</v>
      </c>
      <c r="M928" s="451">
        <f t="shared" si="167"/>
        <v>110</v>
      </c>
      <c r="N928" s="418">
        <v>600</v>
      </c>
    </row>
    <row r="929" spans="1:15" outlineLevel="6" x14ac:dyDescent="0.4">
      <c r="A929" s="66" t="s">
        <v>416</v>
      </c>
      <c r="B929" s="3">
        <v>0</v>
      </c>
      <c r="C929" s="3">
        <v>0</v>
      </c>
      <c r="D929" s="3">
        <v>0</v>
      </c>
      <c r="E929" s="3">
        <v>4000</v>
      </c>
      <c r="F929" s="3">
        <v>0</v>
      </c>
      <c r="G929" s="3">
        <v>4553</v>
      </c>
      <c r="H929" s="31" t="s">
        <v>583</v>
      </c>
      <c r="I929" s="32">
        <v>22044</v>
      </c>
      <c r="J929" s="32">
        <v>22704</v>
      </c>
      <c r="K929" s="40">
        <v>22000</v>
      </c>
      <c r="L929" s="40">
        <v>22000</v>
      </c>
      <c r="M929" s="451">
        <f t="shared" si="167"/>
        <v>0</v>
      </c>
      <c r="N929" s="417">
        <v>22000</v>
      </c>
    </row>
    <row r="930" spans="1:15" outlineLevel="6" x14ac:dyDescent="0.4">
      <c r="A930" s="66" t="s">
        <v>416</v>
      </c>
      <c r="B930" s="3">
        <v>0</v>
      </c>
      <c r="C930" s="3">
        <v>0</v>
      </c>
      <c r="D930" s="3">
        <v>0</v>
      </c>
      <c r="E930" s="3">
        <v>4000</v>
      </c>
      <c r="F930" s="3">
        <v>0</v>
      </c>
      <c r="G930" s="3">
        <v>4555</v>
      </c>
      <c r="H930" s="31" t="s">
        <v>584</v>
      </c>
      <c r="I930" s="32">
        <v>46050</v>
      </c>
      <c r="J930" s="32">
        <v>49806</v>
      </c>
      <c r="K930" s="40">
        <v>46000</v>
      </c>
      <c r="L930" s="40">
        <v>48000</v>
      </c>
      <c r="M930" s="451">
        <f t="shared" si="167"/>
        <v>2000</v>
      </c>
      <c r="N930" s="417">
        <v>48000</v>
      </c>
    </row>
    <row r="931" spans="1:15" outlineLevel="6" x14ac:dyDescent="0.4">
      <c r="A931" s="66" t="s">
        <v>416</v>
      </c>
      <c r="B931" s="3">
        <v>0</v>
      </c>
      <c r="C931" s="3">
        <v>0</v>
      </c>
      <c r="D931" s="3">
        <v>0</v>
      </c>
      <c r="E931" s="3">
        <v>4000</v>
      </c>
      <c r="F931" s="3">
        <v>0</v>
      </c>
      <c r="G931" s="3">
        <v>4582</v>
      </c>
      <c r="H931" s="31" t="s">
        <v>419</v>
      </c>
      <c r="I931" s="32">
        <v>3773</v>
      </c>
      <c r="J931" s="32">
        <v>0</v>
      </c>
      <c r="K931" s="40">
        <v>0</v>
      </c>
      <c r="L931" s="40">
        <v>5000</v>
      </c>
      <c r="M931" s="451">
        <f t="shared" si="167"/>
        <v>4524</v>
      </c>
      <c r="N931" s="417">
        <v>4524</v>
      </c>
    </row>
    <row r="932" spans="1:15" outlineLevel="6" x14ac:dyDescent="0.4">
      <c r="A932" s="66" t="s">
        <v>416</v>
      </c>
      <c r="B932" s="3">
        <v>0</v>
      </c>
      <c r="C932" s="3">
        <v>0</v>
      </c>
      <c r="D932" s="3">
        <v>0</v>
      </c>
      <c r="E932" s="3" t="s">
        <v>606</v>
      </c>
      <c r="F932" s="3">
        <v>0</v>
      </c>
      <c r="G932" s="3">
        <v>4555</v>
      </c>
      <c r="H932" s="31" t="s">
        <v>1348</v>
      </c>
      <c r="I932" s="32">
        <v>3914</v>
      </c>
      <c r="J932" s="32">
        <v>0</v>
      </c>
      <c r="K932" s="40">
        <v>0</v>
      </c>
      <c r="L932" s="40">
        <v>5300</v>
      </c>
      <c r="M932" s="451">
        <f t="shared" si="167"/>
        <v>5300</v>
      </c>
      <c r="N932" s="417">
        <v>5300</v>
      </c>
    </row>
    <row r="933" spans="1:15" ht="27" outlineLevel="6" thickBot="1" x14ac:dyDescent="0.45">
      <c r="A933" s="66" t="s">
        <v>416</v>
      </c>
      <c r="B933" s="3" t="s">
        <v>448</v>
      </c>
      <c r="C933" s="3">
        <v>0</v>
      </c>
      <c r="D933" s="3">
        <v>0</v>
      </c>
      <c r="E933" s="3">
        <v>5610</v>
      </c>
      <c r="F933" s="3">
        <v>0</v>
      </c>
      <c r="G933" s="3">
        <v>0</v>
      </c>
      <c r="H933" s="31" t="s">
        <v>602</v>
      </c>
      <c r="I933" s="32">
        <v>54244</v>
      </c>
      <c r="J933" s="32">
        <v>56005</v>
      </c>
      <c r="K933" s="40">
        <v>70000</v>
      </c>
      <c r="L933" s="40">
        <v>64234</v>
      </c>
      <c r="M933" s="451">
        <f t="shared" si="167"/>
        <v>-8000</v>
      </c>
      <c r="N933" s="417">
        <v>62000</v>
      </c>
    </row>
    <row r="934" spans="1:15" ht="27" outlineLevel="6" thickBot="1" x14ac:dyDescent="0.45">
      <c r="A934" s="80" t="s">
        <v>440</v>
      </c>
      <c r="B934" s="13"/>
      <c r="C934" s="13"/>
      <c r="D934" s="13"/>
      <c r="E934" s="13"/>
      <c r="F934" s="13"/>
      <c r="G934" s="13"/>
      <c r="H934" s="60"/>
      <c r="I934" s="61">
        <f>SUBTOTAL(9,I922:I933)</f>
        <v>135606</v>
      </c>
      <c r="J934" s="61">
        <f>SUBTOTAL(9,J922:J933)</f>
        <v>162212</v>
      </c>
      <c r="K934" s="62">
        <f>SUBTOTAL(9,K922:K933)</f>
        <v>168499</v>
      </c>
      <c r="L934" s="62">
        <f>SUBTOTAL(9,L922:L933)</f>
        <v>174174</v>
      </c>
      <c r="M934" s="464">
        <f>N934-K934</f>
        <v>4798</v>
      </c>
      <c r="N934" s="431">
        <f>SUBTOTAL(9,N922:N933)</f>
        <v>173297</v>
      </c>
    </row>
    <row r="935" spans="1:15" outlineLevel="6" x14ac:dyDescent="0.4">
      <c r="A935" s="186"/>
      <c r="B935" s="144"/>
      <c r="C935" s="144"/>
      <c r="D935" s="144"/>
      <c r="E935" s="144"/>
      <c r="F935" s="144"/>
      <c r="G935" s="144"/>
      <c r="H935" s="187"/>
      <c r="I935" s="188"/>
      <c r="J935" s="188"/>
      <c r="K935" s="147"/>
      <c r="L935" s="147"/>
      <c r="M935" s="465"/>
      <c r="N935" s="418"/>
    </row>
    <row r="936" spans="1:15" outlineLevel="6" x14ac:dyDescent="0.4">
      <c r="A936" s="81" t="s">
        <v>441</v>
      </c>
      <c r="B936" s="14"/>
      <c r="C936" s="14"/>
      <c r="D936" s="14"/>
      <c r="E936" s="14"/>
      <c r="F936" s="14"/>
      <c r="G936" s="14"/>
      <c r="H936" s="63"/>
      <c r="I936" s="63"/>
      <c r="J936" s="63"/>
      <c r="K936" s="353"/>
      <c r="L936" s="64"/>
      <c r="M936" s="149"/>
      <c r="N936" s="432"/>
    </row>
    <row r="937" spans="1:15" outlineLevel="6" x14ac:dyDescent="0.4">
      <c r="A937" s="70">
        <v>21</v>
      </c>
      <c r="B937" s="3">
        <v>700</v>
      </c>
      <c r="C937" s="3" t="s">
        <v>448</v>
      </c>
      <c r="D937" s="3">
        <v>3100</v>
      </c>
      <c r="E937" s="3" t="s">
        <v>526</v>
      </c>
      <c r="F937" s="3">
        <v>607</v>
      </c>
      <c r="G937" s="3">
        <v>0</v>
      </c>
      <c r="H937" s="31" t="s">
        <v>1197</v>
      </c>
      <c r="I937" s="32">
        <v>52074</v>
      </c>
      <c r="J937" s="32">
        <v>36541</v>
      </c>
      <c r="K937" s="40">
        <f>24800+400</f>
        <v>25200</v>
      </c>
      <c r="L937" s="40">
        <v>26500</v>
      </c>
      <c r="M937" s="451">
        <f>N937-K937</f>
        <v>1300</v>
      </c>
      <c r="N937" s="417">
        <v>26500</v>
      </c>
      <c r="O937" s="29" t="s">
        <v>2677</v>
      </c>
    </row>
    <row r="938" spans="1:15" outlineLevel="6" x14ac:dyDescent="0.4">
      <c r="A938" s="70" t="s">
        <v>416</v>
      </c>
      <c r="B938" s="3" t="s">
        <v>568</v>
      </c>
      <c r="C938" s="3" t="s">
        <v>448</v>
      </c>
      <c r="D938" s="3" t="s">
        <v>569</v>
      </c>
      <c r="E938" s="3" t="s">
        <v>526</v>
      </c>
      <c r="F938" s="3" t="s">
        <v>570</v>
      </c>
      <c r="G938" s="3" t="s">
        <v>571</v>
      </c>
      <c r="H938" s="31" t="s">
        <v>572</v>
      </c>
      <c r="I938" s="32">
        <v>980</v>
      </c>
      <c r="J938" s="32">
        <v>0</v>
      </c>
      <c r="K938" s="40">
        <v>0</v>
      </c>
      <c r="L938" s="40">
        <v>1400</v>
      </c>
      <c r="M938" s="451">
        <f t="shared" ref="M938:M963" si="170">N938-K938</f>
        <v>1400</v>
      </c>
      <c r="N938" s="417">
        <v>1400</v>
      </c>
      <c r="O938" s="29" t="s">
        <v>2678</v>
      </c>
    </row>
    <row r="939" spans="1:15" outlineLevel="6" x14ac:dyDescent="0.4">
      <c r="A939" s="70" t="s">
        <v>416</v>
      </c>
      <c r="B939" s="3" t="s">
        <v>568</v>
      </c>
      <c r="C939" s="3" t="s">
        <v>448</v>
      </c>
      <c r="D939" s="3" t="s">
        <v>569</v>
      </c>
      <c r="E939" s="3" t="s">
        <v>526</v>
      </c>
      <c r="F939" s="3" t="s">
        <v>1196</v>
      </c>
      <c r="G939" s="3" t="s">
        <v>448</v>
      </c>
      <c r="H939" s="31" t="s">
        <v>1202</v>
      </c>
      <c r="I939" s="32">
        <v>0</v>
      </c>
      <c r="J939" s="32">
        <v>22125</v>
      </c>
      <c r="K939" s="40">
        <f>27676+200</f>
        <v>27876</v>
      </c>
      <c r="L939" s="40">
        <v>27880</v>
      </c>
      <c r="M939" s="451">
        <f t="shared" si="170"/>
        <v>4</v>
      </c>
      <c r="N939" s="417">
        <v>27880</v>
      </c>
      <c r="O939" s="29" t="s">
        <v>1540</v>
      </c>
    </row>
    <row r="940" spans="1:15" outlineLevel="6" x14ac:dyDescent="0.4">
      <c r="A940" s="70" t="s">
        <v>416</v>
      </c>
      <c r="B940" s="3" t="s">
        <v>568</v>
      </c>
      <c r="C940" s="3" t="s">
        <v>448</v>
      </c>
      <c r="D940" s="3" t="s">
        <v>569</v>
      </c>
      <c r="E940" s="3" t="s">
        <v>455</v>
      </c>
      <c r="F940" s="3" t="s">
        <v>570</v>
      </c>
      <c r="G940" s="3" t="s">
        <v>448</v>
      </c>
      <c r="H940" s="31" t="s">
        <v>1199</v>
      </c>
      <c r="I940" s="32">
        <v>124</v>
      </c>
      <c r="J940" s="32">
        <v>72</v>
      </c>
      <c r="K940" s="40">
        <v>66</v>
      </c>
      <c r="L940" s="40">
        <v>66</v>
      </c>
      <c r="M940" s="451">
        <f t="shared" si="170"/>
        <v>0</v>
      </c>
      <c r="N940" s="417">
        <v>66</v>
      </c>
    </row>
    <row r="941" spans="1:15" outlineLevel="6" x14ac:dyDescent="0.4">
      <c r="A941" s="70" t="s">
        <v>416</v>
      </c>
      <c r="B941" s="3" t="s">
        <v>568</v>
      </c>
      <c r="C941" s="3" t="s">
        <v>448</v>
      </c>
      <c r="D941" s="3" t="s">
        <v>569</v>
      </c>
      <c r="E941" s="3" t="s">
        <v>455</v>
      </c>
      <c r="F941" s="3" t="s">
        <v>1196</v>
      </c>
      <c r="G941" s="3" t="s">
        <v>448</v>
      </c>
      <c r="H941" s="31" t="s">
        <v>1198</v>
      </c>
      <c r="I941" s="32">
        <v>0</v>
      </c>
      <c r="J941" s="32">
        <v>44</v>
      </c>
      <c r="K941" s="40">
        <v>55</v>
      </c>
      <c r="L941" s="40">
        <v>66</v>
      </c>
      <c r="M941" s="451">
        <f t="shared" si="170"/>
        <v>11</v>
      </c>
      <c r="N941" s="417">
        <v>66</v>
      </c>
    </row>
    <row r="942" spans="1:15" outlineLevel="6" x14ac:dyDescent="0.4">
      <c r="A942" s="70" t="s">
        <v>416</v>
      </c>
      <c r="B942" s="3" t="s">
        <v>568</v>
      </c>
      <c r="C942" s="3" t="s">
        <v>448</v>
      </c>
      <c r="D942" s="3" t="s">
        <v>569</v>
      </c>
      <c r="E942" s="3" t="s">
        <v>533</v>
      </c>
      <c r="F942" s="3" t="s">
        <v>570</v>
      </c>
      <c r="G942" s="3" t="s">
        <v>448</v>
      </c>
      <c r="H942" s="31" t="s">
        <v>1200</v>
      </c>
      <c r="I942" s="32">
        <v>156</v>
      </c>
      <c r="J942" s="32">
        <v>118</v>
      </c>
      <c r="K942" s="40">
        <f>75+1</f>
        <v>76</v>
      </c>
      <c r="L942" s="40">
        <v>80</v>
      </c>
      <c r="M942" s="451">
        <f t="shared" si="170"/>
        <v>4</v>
      </c>
      <c r="N942" s="417">
        <v>80</v>
      </c>
    </row>
    <row r="943" spans="1:15" outlineLevel="6" x14ac:dyDescent="0.4">
      <c r="A943" s="70" t="s">
        <v>416</v>
      </c>
      <c r="B943" s="3" t="s">
        <v>568</v>
      </c>
      <c r="C943" s="3" t="s">
        <v>448</v>
      </c>
      <c r="D943" s="3" t="s">
        <v>569</v>
      </c>
      <c r="E943" s="3" t="s">
        <v>533</v>
      </c>
      <c r="F943" s="3" t="s">
        <v>570</v>
      </c>
      <c r="G943" s="3" t="s">
        <v>571</v>
      </c>
      <c r="H943" s="31" t="s">
        <v>573</v>
      </c>
      <c r="I943" s="32">
        <v>3</v>
      </c>
      <c r="J943" s="32">
        <v>0</v>
      </c>
      <c r="K943" s="40">
        <v>0</v>
      </c>
      <c r="L943" s="40">
        <v>5</v>
      </c>
      <c r="M943" s="451">
        <f t="shared" si="170"/>
        <v>5</v>
      </c>
      <c r="N943" s="417">
        <v>5</v>
      </c>
    </row>
    <row r="944" spans="1:15" outlineLevel="6" x14ac:dyDescent="0.4">
      <c r="A944" s="70" t="s">
        <v>416</v>
      </c>
      <c r="B944" s="3" t="s">
        <v>568</v>
      </c>
      <c r="C944" s="3" t="s">
        <v>448</v>
      </c>
      <c r="D944" s="3" t="s">
        <v>569</v>
      </c>
      <c r="E944" s="3" t="s">
        <v>533</v>
      </c>
      <c r="F944" s="3" t="s">
        <v>1196</v>
      </c>
      <c r="G944" s="3" t="s">
        <v>448</v>
      </c>
      <c r="H944" s="31" t="s">
        <v>1201</v>
      </c>
      <c r="I944" s="32">
        <v>0</v>
      </c>
      <c r="J944" s="32">
        <v>66</v>
      </c>
      <c r="K944" s="40">
        <f>84+1</f>
        <v>85</v>
      </c>
      <c r="L944" s="40">
        <v>84</v>
      </c>
      <c r="M944" s="451">
        <f t="shared" si="170"/>
        <v>-1</v>
      </c>
      <c r="N944" s="417">
        <v>84</v>
      </c>
    </row>
    <row r="945" spans="1:14" outlineLevel="6" x14ac:dyDescent="0.4">
      <c r="A945" s="70" t="s">
        <v>416</v>
      </c>
      <c r="B945" s="3" t="s">
        <v>568</v>
      </c>
      <c r="C945" s="3" t="s">
        <v>448</v>
      </c>
      <c r="D945" s="3" t="s">
        <v>569</v>
      </c>
      <c r="E945" s="3" t="s">
        <v>480</v>
      </c>
      <c r="F945" s="3" t="s">
        <v>570</v>
      </c>
      <c r="G945" s="3" t="s">
        <v>448</v>
      </c>
      <c r="H945" s="31" t="s">
        <v>225</v>
      </c>
      <c r="I945" s="32">
        <v>753</v>
      </c>
      <c r="J945" s="32">
        <v>509</v>
      </c>
      <c r="K945" s="40">
        <f>360+6</f>
        <v>366</v>
      </c>
      <c r="L945" s="40">
        <v>385</v>
      </c>
      <c r="M945" s="451">
        <f t="shared" si="170"/>
        <v>19</v>
      </c>
      <c r="N945" s="417">
        <v>385</v>
      </c>
    </row>
    <row r="946" spans="1:14" outlineLevel="6" x14ac:dyDescent="0.4">
      <c r="A946" s="70" t="s">
        <v>416</v>
      </c>
      <c r="B946" s="3" t="s">
        <v>568</v>
      </c>
      <c r="C946" s="3" t="s">
        <v>448</v>
      </c>
      <c r="D946" s="3" t="s">
        <v>569</v>
      </c>
      <c r="E946" s="3" t="s">
        <v>480</v>
      </c>
      <c r="F946" s="3" t="s">
        <v>570</v>
      </c>
      <c r="G946" s="3" t="s">
        <v>571</v>
      </c>
      <c r="H946" s="31" t="s">
        <v>574</v>
      </c>
      <c r="I946" s="32">
        <v>14</v>
      </c>
      <c r="J946" s="32">
        <v>0</v>
      </c>
      <c r="K946" s="40">
        <v>0</v>
      </c>
      <c r="L946" s="40">
        <v>20</v>
      </c>
      <c r="M946" s="451">
        <f t="shared" si="170"/>
        <v>20</v>
      </c>
      <c r="N946" s="417">
        <v>20</v>
      </c>
    </row>
    <row r="947" spans="1:14" outlineLevel="6" x14ac:dyDescent="0.4">
      <c r="A947" s="70" t="s">
        <v>416</v>
      </c>
      <c r="B947" s="3" t="s">
        <v>568</v>
      </c>
      <c r="C947" s="3" t="s">
        <v>448</v>
      </c>
      <c r="D947" s="3" t="s">
        <v>569</v>
      </c>
      <c r="E947" s="3" t="s">
        <v>480</v>
      </c>
      <c r="F947" s="3" t="s">
        <v>1196</v>
      </c>
      <c r="G947" s="3" t="s">
        <v>448</v>
      </c>
      <c r="H947" s="31" t="s">
        <v>1203</v>
      </c>
      <c r="I947" s="32">
        <v>0</v>
      </c>
      <c r="J947" s="32">
        <v>318</v>
      </c>
      <c r="K947" s="40">
        <f>402+3</f>
        <v>405</v>
      </c>
      <c r="L947" s="40">
        <v>405</v>
      </c>
      <c r="M947" s="451">
        <f t="shared" si="170"/>
        <v>0</v>
      </c>
      <c r="N947" s="417">
        <f>402+3</f>
        <v>405</v>
      </c>
    </row>
    <row r="948" spans="1:14" outlineLevel="6" x14ac:dyDescent="0.4">
      <c r="A948" s="70" t="s">
        <v>416</v>
      </c>
      <c r="B948" s="3" t="s">
        <v>568</v>
      </c>
      <c r="C948" s="3" t="s">
        <v>448</v>
      </c>
      <c r="D948" s="3" t="s">
        <v>569</v>
      </c>
      <c r="E948" s="3" t="s">
        <v>534</v>
      </c>
      <c r="F948" s="3" t="s">
        <v>570</v>
      </c>
      <c r="G948" s="3" t="s">
        <v>448</v>
      </c>
      <c r="H948" s="31" t="s">
        <v>1204</v>
      </c>
      <c r="I948" s="32">
        <v>10141</v>
      </c>
      <c r="J948" s="32">
        <v>6985</v>
      </c>
      <c r="K948" s="40">
        <v>4998</v>
      </c>
      <c r="L948" s="40">
        <v>5406</v>
      </c>
      <c r="M948" s="451">
        <f t="shared" si="170"/>
        <v>408</v>
      </c>
      <c r="N948" s="417">
        <v>5406</v>
      </c>
    </row>
    <row r="949" spans="1:14" outlineLevel="6" x14ac:dyDescent="0.4">
      <c r="A949" s="70" t="s">
        <v>416</v>
      </c>
      <c r="B949" s="3" t="s">
        <v>568</v>
      </c>
      <c r="C949" s="3" t="s">
        <v>448</v>
      </c>
      <c r="D949" s="3" t="s">
        <v>569</v>
      </c>
      <c r="E949" s="3" t="s">
        <v>534</v>
      </c>
      <c r="F949" s="3" t="s">
        <v>1196</v>
      </c>
      <c r="G949" s="3" t="s">
        <v>448</v>
      </c>
      <c r="H949" s="31" t="s">
        <v>1205</v>
      </c>
      <c r="I949" s="32">
        <v>0</v>
      </c>
      <c r="J949" s="32">
        <v>4373</v>
      </c>
      <c r="K949" s="40">
        <v>5577</v>
      </c>
      <c r="L949" s="40">
        <v>5688</v>
      </c>
      <c r="M949" s="451">
        <f t="shared" si="170"/>
        <v>111</v>
      </c>
      <c r="N949" s="417">
        <v>5688</v>
      </c>
    </row>
    <row r="950" spans="1:14" outlineLevel="6" x14ac:dyDescent="0.4">
      <c r="A950" s="70" t="s">
        <v>416</v>
      </c>
      <c r="B950" s="3" t="s">
        <v>568</v>
      </c>
      <c r="C950" s="3" t="s">
        <v>448</v>
      </c>
      <c r="D950" s="3" t="s">
        <v>569</v>
      </c>
      <c r="E950" s="3" t="s">
        <v>450</v>
      </c>
      <c r="F950" s="3" t="s">
        <v>570</v>
      </c>
      <c r="G950" s="3" t="s">
        <v>448</v>
      </c>
      <c r="H950" s="31" t="s">
        <v>1207</v>
      </c>
      <c r="I950" s="32">
        <v>11521</v>
      </c>
      <c r="J950" s="32">
        <v>4805</v>
      </c>
      <c r="K950" s="40">
        <v>6265</v>
      </c>
      <c r="L950" s="40">
        <v>6132</v>
      </c>
      <c r="M950" s="451">
        <f t="shared" si="170"/>
        <v>-133</v>
      </c>
      <c r="N950" s="417">
        <v>6132</v>
      </c>
    </row>
    <row r="951" spans="1:14" outlineLevel="6" x14ac:dyDescent="0.4">
      <c r="A951" s="70" t="s">
        <v>416</v>
      </c>
      <c r="B951" s="3" t="s">
        <v>568</v>
      </c>
      <c r="C951" s="3" t="s">
        <v>448</v>
      </c>
      <c r="D951" s="3" t="s">
        <v>569</v>
      </c>
      <c r="E951" s="3" t="s">
        <v>450</v>
      </c>
      <c r="F951" s="3" t="s">
        <v>1196</v>
      </c>
      <c r="G951" s="3" t="s">
        <v>448</v>
      </c>
      <c r="H951" s="31" t="s">
        <v>1206</v>
      </c>
      <c r="I951" s="32">
        <v>0</v>
      </c>
      <c r="J951" s="32">
        <v>2972</v>
      </c>
      <c r="K951" s="40">
        <v>4899</v>
      </c>
      <c r="L951" s="40">
        <v>6132</v>
      </c>
      <c r="M951" s="451">
        <f t="shared" si="170"/>
        <v>1233</v>
      </c>
      <c r="N951" s="417">
        <v>6132</v>
      </c>
    </row>
    <row r="952" spans="1:14" outlineLevel="6" x14ac:dyDescent="0.4">
      <c r="A952" s="70">
        <v>21</v>
      </c>
      <c r="B952" s="3">
        <v>700</v>
      </c>
      <c r="C952" s="3">
        <v>0</v>
      </c>
      <c r="D952" s="3">
        <v>3100</v>
      </c>
      <c r="E952" s="3">
        <v>340</v>
      </c>
      <c r="F952" s="3">
        <v>0</v>
      </c>
      <c r="G952" s="3">
        <v>0</v>
      </c>
      <c r="H952" s="31" t="s">
        <v>415</v>
      </c>
      <c r="I952" s="32">
        <v>807</v>
      </c>
      <c r="J952" s="32">
        <v>4209</v>
      </c>
      <c r="K952" s="40">
        <v>4500</v>
      </c>
      <c r="L952" s="40">
        <v>4000</v>
      </c>
      <c r="M952" s="451">
        <f t="shared" si="170"/>
        <v>-500</v>
      </c>
      <c r="N952" s="417">
        <v>4000</v>
      </c>
    </row>
    <row r="953" spans="1:14" outlineLevel="6" x14ac:dyDescent="0.4">
      <c r="A953" s="70" t="s">
        <v>416</v>
      </c>
      <c r="B953" s="3" t="s">
        <v>568</v>
      </c>
      <c r="C953" s="3" t="s">
        <v>448</v>
      </c>
      <c r="D953" s="3" t="s">
        <v>569</v>
      </c>
      <c r="E953" s="3" t="s">
        <v>524</v>
      </c>
      <c r="F953" s="3" t="s">
        <v>448</v>
      </c>
      <c r="G953" s="3" t="s">
        <v>448</v>
      </c>
      <c r="H953" s="31" t="s">
        <v>1253</v>
      </c>
      <c r="I953" s="32">
        <v>614</v>
      </c>
      <c r="J953" s="32">
        <v>506</v>
      </c>
      <c r="K953" s="40">
        <v>600</v>
      </c>
      <c r="L953" s="40">
        <v>600</v>
      </c>
      <c r="M953" s="451">
        <f t="shared" si="170"/>
        <v>0</v>
      </c>
      <c r="N953" s="417">
        <v>600</v>
      </c>
    </row>
    <row r="954" spans="1:14" outlineLevel="6" x14ac:dyDescent="0.4">
      <c r="A954" s="70">
        <v>21</v>
      </c>
      <c r="B954" s="3">
        <v>700</v>
      </c>
      <c r="C954" s="3">
        <v>0</v>
      </c>
      <c r="D954" s="3">
        <v>3100</v>
      </c>
      <c r="E954" s="3">
        <v>580</v>
      </c>
      <c r="F954" s="3">
        <v>0</v>
      </c>
      <c r="G954" s="3">
        <v>0</v>
      </c>
      <c r="H954" s="31" t="s">
        <v>324</v>
      </c>
      <c r="I954" s="32">
        <v>46</v>
      </c>
      <c r="J954" s="32">
        <v>622</v>
      </c>
      <c r="K954" s="40">
        <v>1000</v>
      </c>
      <c r="L954" s="40">
        <v>1000</v>
      </c>
      <c r="M954" s="451">
        <f t="shared" si="170"/>
        <v>0</v>
      </c>
      <c r="N954" s="417">
        <v>1000</v>
      </c>
    </row>
    <row r="955" spans="1:14" outlineLevel="6" x14ac:dyDescent="0.4">
      <c r="A955" s="70">
        <v>21</v>
      </c>
      <c r="B955" s="3">
        <v>700</v>
      </c>
      <c r="C955" s="3">
        <v>0</v>
      </c>
      <c r="D955" s="3">
        <v>3100</v>
      </c>
      <c r="E955" s="3">
        <v>602</v>
      </c>
      <c r="F955" s="3">
        <v>0</v>
      </c>
      <c r="G955" s="3">
        <v>0</v>
      </c>
      <c r="H955" s="31" t="s">
        <v>420</v>
      </c>
      <c r="I955" s="32">
        <v>1527</v>
      </c>
      <c r="J955" s="32">
        <v>3117</v>
      </c>
      <c r="K955" s="40">
        <v>3000</v>
      </c>
      <c r="L955" s="40">
        <v>3000</v>
      </c>
      <c r="M955" s="451">
        <f t="shared" si="170"/>
        <v>0</v>
      </c>
      <c r="N955" s="417">
        <v>3000</v>
      </c>
    </row>
    <row r="956" spans="1:14" outlineLevel="5" x14ac:dyDescent="0.4">
      <c r="A956" s="70">
        <v>21</v>
      </c>
      <c r="B956" s="3">
        <v>700</v>
      </c>
      <c r="C956" s="3">
        <v>0</v>
      </c>
      <c r="D956" s="3">
        <v>3100</v>
      </c>
      <c r="E956" s="3">
        <v>602</v>
      </c>
      <c r="F956" s="3">
        <v>0</v>
      </c>
      <c r="G956" s="3">
        <v>4582</v>
      </c>
      <c r="H956" s="31" t="s">
        <v>597</v>
      </c>
      <c r="I956" s="32">
        <v>0</v>
      </c>
      <c r="J956" s="32"/>
      <c r="K956" s="40">
        <v>0</v>
      </c>
      <c r="L956" s="40">
        <v>75</v>
      </c>
      <c r="M956" s="451">
        <f t="shared" si="170"/>
        <v>75</v>
      </c>
      <c r="N956" s="417">
        <v>75</v>
      </c>
    </row>
    <row r="957" spans="1:14" outlineLevel="6" x14ac:dyDescent="0.4">
      <c r="A957" s="70">
        <v>21</v>
      </c>
      <c r="B957" s="3">
        <v>700</v>
      </c>
      <c r="C957" s="3">
        <v>0</v>
      </c>
      <c r="D957" s="3">
        <v>3100</v>
      </c>
      <c r="E957" s="3">
        <v>610</v>
      </c>
      <c r="F957" s="3">
        <v>0</v>
      </c>
      <c r="G957" s="3">
        <v>0</v>
      </c>
      <c r="H957" s="31" t="s">
        <v>421</v>
      </c>
      <c r="I957" s="32">
        <v>97</v>
      </c>
      <c r="J957" s="32">
        <v>665</v>
      </c>
      <c r="K957" s="40">
        <v>1000</v>
      </c>
      <c r="L957" s="40">
        <v>1000</v>
      </c>
      <c r="M957" s="451">
        <f t="shared" si="170"/>
        <v>0</v>
      </c>
      <c r="N957" s="417">
        <v>1000</v>
      </c>
    </row>
    <row r="958" spans="1:14" outlineLevel="6" x14ac:dyDescent="0.4">
      <c r="A958" s="70">
        <v>21</v>
      </c>
      <c r="B958" s="3">
        <v>700</v>
      </c>
      <c r="C958" s="3">
        <v>0</v>
      </c>
      <c r="D958" s="3">
        <v>3100</v>
      </c>
      <c r="E958" s="3">
        <v>630</v>
      </c>
      <c r="F958" s="3">
        <v>0</v>
      </c>
      <c r="G958" s="3">
        <v>0</v>
      </c>
      <c r="H958" s="31" t="s">
        <v>422</v>
      </c>
      <c r="I958" s="32">
        <v>46609</v>
      </c>
      <c r="J958" s="32">
        <v>49036</v>
      </c>
      <c r="K958" s="40">
        <v>50000</v>
      </c>
      <c r="L958" s="40">
        <v>50000</v>
      </c>
      <c r="M958" s="451">
        <f t="shared" si="170"/>
        <v>0</v>
      </c>
      <c r="N958" s="417">
        <v>50000</v>
      </c>
    </row>
    <row r="959" spans="1:14" outlineLevel="6" x14ac:dyDescent="0.4">
      <c r="A959" s="70">
        <v>21</v>
      </c>
      <c r="B959" s="3">
        <v>700</v>
      </c>
      <c r="C959" s="3">
        <v>0</v>
      </c>
      <c r="D959" s="3">
        <v>3100</v>
      </c>
      <c r="E959" s="3">
        <v>630</v>
      </c>
      <c r="F959" s="3">
        <v>0</v>
      </c>
      <c r="G959" s="3">
        <v>4582</v>
      </c>
      <c r="H959" s="31" t="s">
        <v>1249</v>
      </c>
      <c r="I959" s="32">
        <v>2660</v>
      </c>
      <c r="J959" s="32">
        <v>0</v>
      </c>
      <c r="K959" s="40">
        <v>0</v>
      </c>
      <c r="L959" s="40">
        <v>4000</v>
      </c>
      <c r="M959" s="451">
        <f t="shared" si="170"/>
        <v>3024</v>
      </c>
      <c r="N959" s="417">
        <v>3024</v>
      </c>
    </row>
    <row r="960" spans="1:14" outlineLevel="6" x14ac:dyDescent="0.4">
      <c r="A960" s="70">
        <v>21</v>
      </c>
      <c r="B960" s="3">
        <v>700</v>
      </c>
      <c r="C960" s="3">
        <v>0</v>
      </c>
      <c r="D960" s="3">
        <v>3100</v>
      </c>
      <c r="E960" s="3">
        <v>631</v>
      </c>
      <c r="F960" s="3">
        <v>0</v>
      </c>
      <c r="G960" s="3">
        <v>0</v>
      </c>
      <c r="H960" s="31" t="s">
        <v>613</v>
      </c>
      <c r="I960" s="32">
        <v>5254</v>
      </c>
      <c r="J960" s="32">
        <v>5958</v>
      </c>
      <c r="K960" s="40">
        <v>6500</v>
      </c>
      <c r="L960" s="40">
        <v>6500</v>
      </c>
      <c r="M960" s="451">
        <f t="shared" si="170"/>
        <v>0</v>
      </c>
      <c r="N960" s="417">
        <v>6500</v>
      </c>
    </row>
    <row r="961" spans="1:14" outlineLevel="5" x14ac:dyDescent="0.4">
      <c r="A961" s="70">
        <v>21</v>
      </c>
      <c r="B961" s="3">
        <v>700</v>
      </c>
      <c r="C961" s="3">
        <v>0</v>
      </c>
      <c r="D961" s="3">
        <v>3100</v>
      </c>
      <c r="E961" s="3">
        <v>632</v>
      </c>
      <c r="F961" s="3">
        <v>0</v>
      </c>
      <c r="G961" s="3">
        <v>0</v>
      </c>
      <c r="H961" s="31" t="s">
        <v>423</v>
      </c>
      <c r="I961" s="32">
        <v>284</v>
      </c>
      <c r="J961" s="32">
        <v>0</v>
      </c>
      <c r="K961" s="40">
        <v>750</v>
      </c>
      <c r="L961" s="40">
        <v>750</v>
      </c>
      <c r="M961" s="451">
        <f t="shared" si="170"/>
        <v>0</v>
      </c>
      <c r="N961" s="417">
        <v>750</v>
      </c>
    </row>
    <row r="962" spans="1:14" outlineLevel="6" x14ac:dyDescent="0.4">
      <c r="A962" s="70">
        <v>21</v>
      </c>
      <c r="B962" s="3">
        <v>700</v>
      </c>
      <c r="C962" s="3">
        <v>0</v>
      </c>
      <c r="D962" s="3">
        <v>3100</v>
      </c>
      <c r="E962" s="3" t="s">
        <v>575</v>
      </c>
      <c r="F962" s="3">
        <v>0</v>
      </c>
      <c r="G962" s="3">
        <v>0</v>
      </c>
      <c r="H962" s="31"/>
      <c r="I962" s="32">
        <v>3961</v>
      </c>
      <c r="J962" s="32">
        <v>413</v>
      </c>
      <c r="K962" s="40">
        <v>0</v>
      </c>
      <c r="L962" s="40">
        <v>0</v>
      </c>
      <c r="M962" s="451">
        <f t="shared" si="170"/>
        <v>0</v>
      </c>
      <c r="N962" s="417">
        <v>0</v>
      </c>
    </row>
    <row r="963" spans="1:14" ht="27" outlineLevel="6" thickBot="1" x14ac:dyDescent="0.45">
      <c r="A963" s="70">
        <v>21</v>
      </c>
      <c r="B963" s="3">
        <v>700</v>
      </c>
      <c r="C963" s="3">
        <v>0</v>
      </c>
      <c r="D963" s="3">
        <v>3100</v>
      </c>
      <c r="E963" s="3">
        <v>730</v>
      </c>
      <c r="F963" s="3">
        <v>0</v>
      </c>
      <c r="G963" s="3">
        <v>0</v>
      </c>
      <c r="H963" s="31" t="s">
        <v>424</v>
      </c>
      <c r="I963" s="32">
        <v>0</v>
      </c>
      <c r="J963" s="32">
        <v>0</v>
      </c>
      <c r="K963" s="40">
        <v>3000</v>
      </c>
      <c r="L963" s="40">
        <v>3000</v>
      </c>
      <c r="M963" s="451">
        <f t="shared" si="170"/>
        <v>0</v>
      </c>
      <c r="N963" s="417">
        <v>3000</v>
      </c>
    </row>
    <row r="964" spans="1:14" ht="27" outlineLevel="6" thickBot="1" x14ac:dyDescent="0.45">
      <c r="A964" s="166"/>
      <c r="B964" s="167"/>
      <c r="C964" s="167"/>
      <c r="D964" s="168" t="s">
        <v>395</v>
      </c>
      <c r="E964" s="167"/>
      <c r="F964" s="167"/>
      <c r="G964" s="167"/>
      <c r="H964" s="169"/>
      <c r="I964" s="170">
        <f>SUBTOTAL(9,I937:I963)</f>
        <v>137625</v>
      </c>
      <c r="J964" s="170">
        <f>SUBTOTAL(9,J937:J963)</f>
        <v>143454</v>
      </c>
      <c r="K964" s="171">
        <f>SUBTOTAL(9,K937:K963)</f>
        <v>146218</v>
      </c>
      <c r="L964" s="171">
        <f>SUBTOTAL(9,L937:L963)</f>
        <v>154174</v>
      </c>
      <c r="M964" s="466">
        <f>N933-K964</f>
        <v>-84218</v>
      </c>
      <c r="N964" s="433">
        <f>SUBTOTAL(9,N937:N963)</f>
        <v>153198</v>
      </c>
    </row>
    <row r="965" spans="1:14" ht="27" outlineLevel="6" thickBot="1" x14ac:dyDescent="0.45">
      <c r="A965" s="73"/>
      <c r="B965" s="8" t="s">
        <v>396</v>
      </c>
      <c r="C965" s="7"/>
      <c r="D965" s="7"/>
      <c r="E965" s="7"/>
      <c r="F965" s="7"/>
      <c r="G965" s="7"/>
      <c r="H965" s="45"/>
      <c r="I965" s="46">
        <f>SUBTOTAL(9,I937:I964)</f>
        <v>137625</v>
      </c>
      <c r="J965" s="46">
        <f>SUBTOTAL(9,J937:J964)</f>
        <v>143454</v>
      </c>
      <c r="K965" s="47">
        <f>SUBTOTAL(9,K937:K964)</f>
        <v>146218</v>
      </c>
      <c r="L965" s="47">
        <f>SUBTOTAL(9,L937:L964)</f>
        <v>154174</v>
      </c>
      <c r="M965" s="454">
        <f>N965-K965</f>
        <v>6980</v>
      </c>
      <c r="N965" s="419">
        <f>SUBTOTAL(9,N937:N964)</f>
        <v>153198</v>
      </c>
    </row>
    <row r="966" spans="1:14" ht="27" outlineLevel="6" thickBot="1" x14ac:dyDescent="0.45">
      <c r="A966" s="70">
        <v>21</v>
      </c>
      <c r="B966" s="3" t="s">
        <v>568</v>
      </c>
      <c r="C966" s="3">
        <v>0</v>
      </c>
      <c r="D966" s="3" t="s">
        <v>2218</v>
      </c>
      <c r="E966" s="3">
        <v>990</v>
      </c>
      <c r="F966" s="3">
        <v>0</v>
      </c>
      <c r="G966" s="3">
        <v>0</v>
      </c>
      <c r="H966" s="31" t="s">
        <v>425</v>
      </c>
      <c r="I966" s="32">
        <v>0</v>
      </c>
      <c r="J966" s="32">
        <v>18758</v>
      </c>
      <c r="K966" s="40">
        <v>22281</v>
      </c>
      <c r="L966" s="40">
        <v>20000</v>
      </c>
      <c r="M966" s="451">
        <f>N966-K966</f>
        <v>-2182</v>
      </c>
      <c r="N966" s="417">
        <v>20099</v>
      </c>
    </row>
    <row r="967" spans="1:14" ht="27" outlineLevel="6" thickBot="1" x14ac:dyDescent="0.45">
      <c r="A967" s="166"/>
      <c r="B967" s="167"/>
      <c r="C967" s="167"/>
      <c r="D967" s="168" t="s">
        <v>399</v>
      </c>
      <c r="E967" s="167"/>
      <c r="F967" s="167"/>
      <c r="G967" s="167"/>
      <c r="H967" s="169"/>
      <c r="I967" s="170">
        <f>SUBTOTAL(9,I966:I966)</f>
        <v>0</v>
      </c>
      <c r="J967" s="170">
        <f>SUBTOTAL(9,J966:J966)</f>
        <v>18758</v>
      </c>
      <c r="K967" s="171">
        <f>SUBTOTAL(9,K966:K966)</f>
        <v>22281</v>
      </c>
      <c r="L967" s="171">
        <f>SUBTOTAL(9,L966:L966)</f>
        <v>20000</v>
      </c>
      <c r="M967" s="466">
        <f>N967-K967</f>
        <v>-2182</v>
      </c>
      <c r="N967" s="433">
        <f>SUBTOTAL(9,N966:N966)</f>
        <v>20099</v>
      </c>
    </row>
    <row r="968" spans="1:14" ht="27" outlineLevel="5" thickBot="1" x14ac:dyDescent="0.45">
      <c r="A968" s="160"/>
      <c r="B968" s="161" t="s">
        <v>403</v>
      </c>
      <c r="C968" s="162"/>
      <c r="D968" s="162"/>
      <c r="E968" s="162"/>
      <c r="F968" s="162"/>
      <c r="G968" s="162"/>
      <c r="H968" s="163"/>
      <c r="I968" s="164">
        <f>SUBTOTAL(9,I966:I966)</f>
        <v>0</v>
      </c>
      <c r="J968" s="164">
        <f>SUBTOTAL(9,J966:J966)</f>
        <v>18758</v>
      </c>
      <c r="K968" s="165">
        <f>SUBTOTAL(9,K966:K967)</f>
        <v>22281</v>
      </c>
      <c r="L968" s="165">
        <f>SUBTOTAL(9,L966:L966)</f>
        <v>20000</v>
      </c>
      <c r="M968" s="463">
        <f>N968-K968</f>
        <v>-2182</v>
      </c>
      <c r="N968" s="426">
        <f>SUBTOTAL(9,N966:N967)</f>
        <v>20099</v>
      </c>
    </row>
    <row r="969" spans="1:14" ht="27" outlineLevel="6" thickBot="1" x14ac:dyDescent="0.45">
      <c r="A969" s="113" t="s">
        <v>459</v>
      </c>
      <c r="B969" s="13"/>
      <c r="C969" s="13"/>
      <c r="D969" s="13"/>
      <c r="E969" s="13"/>
      <c r="F969" s="13"/>
      <c r="G969" s="13"/>
      <c r="H969" s="60"/>
      <c r="I969" s="61">
        <f>SUBTOTAL(9,I937:I966)</f>
        <v>137625</v>
      </c>
      <c r="J969" s="61">
        <f>SUBTOTAL(9,J937:J966)</f>
        <v>162212</v>
      </c>
      <c r="K969" s="62">
        <f>SUBTOTAL(9,K937:K968)</f>
        <v>168499</v>
      </c>
      <c r="L969" s="62">
        <f>SUBTOTAL(9,L937:L966)</f>
        <v>174174</v>
      </c>
      <c r="M969" s="464">
        <f>N969-K969</f>
        <v>4798</v>
      </c>
      <c r="N969" s="431">
        <f>SUBTOTAL(9,N937:N968)</f>
        <v>173297</v>
      </c>
    </row>
    <row r="970" spans="1:14" ht="27" outlineLevel="6" x14ac:dyDescent="0.45">
      <c r="A970" s="182" t="s">
        <v>460</v>
      </c>
      <c r="B970" s="183"/>
      <c r="C970" s="183"/>
      <c r="D970" s="183"/>
      <c r="E970" s="183"/>
      <c r="F970" s="183"/>
      <c r="G970" s="183"/>
      <c r="H970" s="184"/>
      <c r="I970" s="184"/>
      <c r="J970" s="184"/>
      <c r="K970" s="354"/>
      <c r="L970" s="185"/>
      <c r="M970" s="467"/>
      <c r="N970" s="434"/>
    </row>
    <row r="971" spans="1:14" outlineLevel="6" x14ac:dyDescent="0.4">
      <c r="A971" s="66" t="s">
        <v>426</v>
      </c>
      <c r="B971" s="3">
        <v>0</v>
      </c>
      <c r="C971" s="3">
        <v>0</v>
      </c>
      <c r="D971" s="3">
        <v>0</v>
      </c>
      <c r="E971" s="3">
        <v>1</v>
      </c>
      <c r="F971" s="3">
        <v>0</v>
      </c>
      <c r="G971" s="3">
        <v>0</v>
      </c>
      <c r="H971" s="31" t="s">
        <v>1181</v>
      </c>
      <c r="I971" s="32">
        <v>0</v>
      </c>
      <c r="J971" s="32">
        <v>409960</v>
      </c>
      <c r="K971" s="40">
        <v>409960</v>
      </c>
      <c r="L971" s="40">
        <v>463334</v>
      </c>
      <c r="M971" s="451">
        <f>N971-K971</f>
        <v>48048</v>
      </c>
      <c r="N971" s="417">
        <v>458008</v>
      </c>
    </row>
    <row r="972" spans="1:14" outlineLevel="6" x14ac:dyDescent="0.4">
      <c r="A972" s="66" t="s">
        <v>426</v>
      </c>
      <c r="B972" s="3">
        <v>850</v>
      </c>
      <c r="C972" s="3">
        <v>0</v>
      </c>
      <c r="D972" s="3">
        <v>0</v>
      </c>
      <c r="E972" s="3">
        <v>1</v>
      </c>
      <c r="F972" s="3">
        <v>0</v>
      </c>
      <c r="G972" s="3">
        <v>0</v>
      </c>
      <c r="H972" s="31" t="s">
        <v>1180</v>
      </c>
      <c r="I972" s="32">
        <v>0</v>
      </c>
      <c r="J972" s="32">
        <v>94402</v>
      </c>
      <c r="K972" s="40">
        <v>94402</v>
      </c>
      <c r="L972" s="40">
        <v>50462</v>
      </c>
      <c r="M972" s="451">
        <f t="shared" ref="M972:M978" si="171">N972-K972</f>
        <v>20012</v>
      </c>
      <c r="N972" s="417">
        <v>114414</v>
      </c>
    </row>
    <row r="973" spans="1:14" outlineLevel="6" x14ac:dyDescent="0.4">
      <c r="A973" s="66" t="s">
        <v>426</v>
      </c>
      <c r="B973" s="3">
        <v>800</v>
      </c>
      <c r="C973" s="3">
        <v>0</v>
      </c>
      <c r="D973" s="3">
        <v>0</v>
      </c>
      <c r="E973" s="3">
        <v>1110</v>
      </c>
      <c r="F973" s="3">
        <v>0</v>
      </c>
      <c r="G973" s="3">
        <v>0</v>
      </c>
      <c r="H973" s="31" t="s">
        <v>1179</v>
      </c>
      <c r="I973" s="32">
        <v>386577</v>
      </c>
      <c r="J973" s="32">
        <v>383348</v>
      </c>
      <c r="K973" s="40">
        <v>340000</v>
      </c>
      <c r="L973" s="40">
        <v>340285</v>
      </c>
      <c r="M973" s="451">
        <f t="shared" si="171"/>
        <v>285</v>
      </c>
      <c r="N973" s="417">
        <v>340285</v>
      </c>
    </row>
    <row r="974" spans="1:14" outlineLevel="6" x14ac:dyDescent="0.4">
      <c r="A974" s="66" t="s">
        <v>426</v>
      </c>
      <c r="B974" s="3">
        <v>800</v>
      </c>
      <c r="C974" s="3">
        <v>0</v>
      </c>
      <c r="D974" s="3">
        <v>0</v>
      </c>
      <c r="E974" s="3">
        <v>1143</v>
      </c>
      <c r="F974" s="3">
        <v>0</v>
      </c>
      <c r="G974" s="3">
        <v>0</v>
      </c>
      <c r="H974" s="31" t="s">
        <v>1182</v>
      </c>
      <c r="I974" s="32">
        <v>4540</v>
      </c>
      <c r="J974" s="32">
        <v>4463</v>
      </c>
      <c r="K974" s="40">
        <v>3500</v>
      </c>
      <c r="L974" s="40">
        <v>3500</v>
      </c>
      <c r="M974" s="451">
        <f t="shared" si="171"/>
        <v>0</v>
      </c>
      <c r="N974" s="417">
        <v>3500</v>
      </c>
    </row>
    <row r="975" spans="1:14" outlineLevel="6" x14ac:dyDescent="0.4">
      <c r="A975" s="66" t="s">
        <v>426</v>
      </c>
      <c r="B975" s="3">
        <v>800</v>
      </c>
      <c r="C975" s="3">
        <v>0</v>
      </c>
      <c r="D975" s="3">
        <v>0</v>
      </c>
      <c r="E975" s="3">
        <v>1500</v>
      </c>
      <c r="F975" s="3">
        <v>0</v>
      </c>
      <c r="G975" s="3">
        <v>0</v>
      </c>
      <c r="H975" s="31" t="s">
        <v>1185</v>
      </c>
      <c r="I975" s="32">
        <v>3592</v>
      </c>
      <c r="J975" s="32">
        <v>7054</v>
      </c>
      <c r="K975" s="40">
        <v>2500</v>
      </c>
      <c r="L975" s="40">
        <v>2500</v>
      </c>
      <c r="M975" s="451">
        <f t="shared" si="171"/>
        <v>0</v>
      </c>
      <c r="N975" s="417">
        <v>2500</v>
      </c>
    </row>
    <row r="976" spans="1:14" outlineLevel="6" x14ac:dyDescent="0.4">
      <c r="A976" s="66" t="s">
        <v>426</v>
      </c>
      <c r="B976" s="3">
        <v>850</v>
      </c>
      <c r="C976" s="3">
        <v>0</v>
      </c>
      <c r="D976" s="3">
        <v>0</v>
      </c>
      <c r="E976" s="3">
        <v>1110</v>
      </c>
      <c r="F976" s="3">
        <v>0</v>
      </c>
      <c r="G976" s="3">
        <v>0</v>
      </c>
      <c r="H976" s="31" t="s">
        <v>1183</v>
      </c>
      <c r="I976" s="32">
        <v>66294</v>
      </c>
      <c r="J976" s="32">
        <v>61713</v>
      </c>
      <c r="K976" s="40">
        <v>53500</v>
      </c>
      <c r="L976" s="40">
        <v>53442</v>
      </c>
      <c r="M976" s="451">
        <f t="shared" si="171"/>
        <v>-58</v>
      </c>
      <c r="N976" s="417">
        <v>53442</v>
      </c>
    </row>
    <row r="977" spans="1:14" outlineLevel="5" x14ac:dyDescent="0.4">
      <c r="A977" s="66" t="s">
        <v>426</v>
      </c>
      <c r="B977" s="3">
        <v>850</v>
      </c>
      <c r="C977" s="3">
        <v>0</v>
      </c>
      <c r="D977" s="3">
        <v>0</v>
      </c>
      <c r="E977" s="3">
        <v>1143</v>
      </c>
      <c r="F977" s="3">
        <v>0</v>
      </c>
      <c r="G977" s="3">
        <v>0</v>
      </c>
      <c r="H977" s="31" t="s">
        <v>1184</v>
      </c>
      <c r="I977" s="32">
        <v>387</v>
      </c>
      <c r="J977" s="32">
        <v>718</v>
      </c>
      <c r="K977" s="40">
        <v>375</v>
      </c>
      <c r="L977" s="40">
        <v>250</v>
      </c>
      <c r="M977" s="451">
        <f t="shared" si="171"/>
        <v>-125</v>
      </c>
      <c r="N977" s="417">
        <v>250</v>
      </c>
    </row>
    <row r="978" spans="1:14" ht="27" outlineLevel="6" thickBot="1" x14ac:dyDescent="0.45">
      <c r="A978" s="66" t="s">
        <v>426</v>
      </c>
      <c r="B978" s="3">
        <v>850</v>
      </c>
      <c r="C978" s="3">
        <v>0</v>
      </c>
      <c r="D978" s="3">
        <v>0</v>
      </c>
      <c r="E978" s="3">
        <v>1500</v>
      </c>
      <c r="F978" s="3">
        <v>0</v>
      </c>
      <c r="G978" s="3">
        <v>0</v>
      </c>
      <c r="H978" s="31" t="s">
        <v>1186</v>
      </c>
      <c r="I978" s="32">
        <v>1084</v>
      </c>
      <c r="J978" s="32">
        <v>1941</v>
      </c>
      <c r="K978" s="40">
        <v>800</v>
      </c>
      <c r="L978" s="40">
        <v>800</v>
      </c>
      <c r="M978" s="451">
        <f t="shared" si="171"/>
        <v>0</v>
      </c>
      <c r="N978" s="417">
        <v>800</v>
      </c>
    </row>
    <row r="979" spans="1:14" ht="27" outlineLevel="6" thickBot="1" x14ac:dyDescent="0.45">
      <c r="A979" s="172" t="s">
        <v>461</v>
      </c>
      <c r="B979" s="173"/>
      <c r="C979" s="173"/>
      <c r="D979" s="173"/>
      <c r="E979" s="173"/>
      <c r="F979" s="173"/>
      <c r="G979" s="173"/>
      <c r="H979" s="174"/>
      <c r="I979" s="175">
        <f>SUBTOTAL(9,I971:I978)</f>
        <v>462474</v>
      </c>
      <c r="J979" s="175">
        <f>SUBTOTAL(9,J971:J978)</f>
        <v>963599</v>
      </c>
      <c r="K979" s="176">
        <f>SUBTOTAL(9,K971:K978)</f>
        <v>905037</v>
      </c>
      <c r="L979" s="176">
        <f>SUBTOTAL(9,L971:L978)</f>
        <v>914573</v>
      </c>
      <c r="M979" s="468">
        <f>N979-K979</f>
        <v>68162</v>
      </c>
      <c r="N979" s="435">
        <f>SUBTOTAL(9,N971:N978)</f>
        <v>973199</v>
      </c>
    </row>
    <row r="980" spans="1:14" outlineLevel="6" x14ac:dyDescent="0.4">
      <c r="A980" s="69"/>
      <c r="G980" s="5"/>
      <c r="K980" s="355"/>
      <c r="L980" s="56"/>
      <c r="M980" s="451"/>
      <c r="N980" s="436"/>
    </row>
    <row r="981" spans="1:14" ht="27" outlineLevel="6" x14ac:dyDescent="0.45">
      <c r="A981" s="114" t="s">
        <v>462</v>
      </c>
      <c r="B981" s="83"/>
      <c r="C981" s="83"/>
      <c r="D981" s="83"/>
      <c r="E981" s="83"/>
      <c r="F981" s="83"/>
      <c r="G981" s="83"/>
      <c r="H981" s="84"/>
      <c r="I981" s="84"/>
      <c r="J981" s="84"/>
      <c r="K981" s="356"/>
      <c r="L981" s="85"/>
      <c r="M981" s="469"/>
      <c r="N981" s="437"/>
    </row>
    <row r="982" spans="1:14" outlineLevel="6" x14ac:dyDescent="0.4">
      <c r="A982" s="70">
        <v>31</v>
      </c>
      <c r="B982" s="3">
        <v>800</v>
      </c>
      <c r="C982" s="3">
        <v>0</v>
      </c>
      <c r="D982" s="3">
        <v>5100</v>
      </c>
      <c r="E982" s="3">
        <v>314</v>
      </c>
      <c r="F982" s="3">
        <v>0</v>
      </c>
      <c r="G982" s="3">
        <v>0</v>
      </c>
      <c r="H982" s="31" t="s">
        <v>1189</v>
      </c>
      <c r="I982" s="32">
        <v>800</v>
      </c>
      <c r="J982" s="32">
        <v>1050</v>
      </c>
      <c r="K982" s="40">
        <v>1050</v>
      </c>
      <c r="L982" s="40">
        <v>1050</v>
      </c>
      <c r="M982" s="451">
        <f>N982-K982</f>
        <v>0</v>
      </c>
      <c r="N982" s="417">
        <v>1050</v>
      </c>
    </row>
    <row r="983" spans="1:14" outlineLevel="6" x14ac:dyDescent="0.4">
      <c r="A983" s="70">
        <v>31</v>
      </c>
      <c r="B983" s="3">
        <v>800</v>
      </c>
      <c r="C983" s="3">
        <v>0</v>
      </c>
      <c r="D983" s="3">
        <v>5100</v>
      </c>
      <c r="E983" s="3">
        <v>831</v>
      </c>
      <c r="F983" s="3">
        <v>0</v>
      </c>
      <c r="G983" s="3">
        <v>0</v>
      </c>
      <c r="H983" s="31" t="s">
        <v>1187</v>
      </c>
      <c r="I983" s="32">
        <v>167321</v>
      </c>
      <c r="J983" s="32">
        <v>160078</v>
      </c>
      <c r="K983" s="40">
        <v>159462</v>
      </c>
      <c r="L983" s="40">
        <v>152530</v>
      </c>
      <c r="M983" s="451">
        <f t="shared" ref="M983:M984" si="172">N983-K983</f>
        <v>-6932</v>
      </c>
      <c r="N983" s="417">
        <v>152530</v>
      </c>
    </row>
    <row r="984" spans="1:14" ht="27" outlineLevel="6" thickBot="1" x14ac:dyDescent="0.45">
      <c r="A984" s="70">
        <v>31</v>
      </c>
      <c r="B984" s="3">
        <v>800</v>
      </c>
      <c r="C984" s="3">
        <v>0</v>
      </c>
      <c r="D984" s="3">
        <v>5100</v>
      </c>
      <c r="E984" s="3">
        <v>910</v>
      </c>
      <c r="F984" s="3">
        <v>0</v>
      </c>
      <c r="G984" s="3">
        <v>0</v>
      </c>
      <c r="H984" s="31" t="s">
        <v>1190</v>
      </c>
      <c r="I984" s="32">
        <v>169416</v>
      </c>
      <c r="J984" s="32">
        <v>176511</v>
      </c>
      <c r="K984" s="40">
        <v>176511</v>
      </c>
      <c r="L984" s="40">
        <v>183903</v>
      </c>
      <c r="M984" s="451">
        <f t="shared" si="172"/>
        <v>7392</v>
      </c>
      <c r="N984" s="417">
        <v>183903</v>
      </c>
    </row>
    <row r="985" spans="1:14" ht="27" outlineLevel="6" thickBot="1" x14ac:dyDescent="0.45">
      <c r="A985" s="189"/>
      <c r="B985" s="190"/>
      <c r="C985" s="190"/>
      <c r="D985" s="191" t="s">
        <v>427</v>
      </c>
      <c r="E985" s="190"/>
      <c r="F985" s="190"/>
      <c r="G985" s="190"/>
      <c r="H985" s="192"/>
      <c r="I985" s="193">
        <f>SUBTOTAL(9,I982:I984)</f>
        <v>337537</v>
      </c>
      <c r="J985" s="193">
        <f>SUBTOTAL(9,J982:J984)</f>
        <v>337639</v>
      </c>
      <c r="K985" s="194">
        <f>SUBTOTAL(9,K982:K984)</f>
        <v>337023</v>
      </c>
      <c r="L985" s="194">
        <f>SUBTOTAL(9,L982:L984)</f>
        <v>337483</v>
      </c>
      <c r="M985" s="470">
        <f>N985-K985</f>
        <v>460</v>
      </c>
      <c r="N985" s="438">
        <f>SUBTOTAL(9,N982:N984)</f>
        <v>337483</v>
      </c>
    </row>
    <row r="986" spans="1:14" ht="27" outlineLevel="6" thickBot="1" x14ac:dyDescent="0.45">
      <c r="A986" s="70">
        <v>31</v>
      </c>
      <c r="B986" s="3">
        <v>800</v>
      </c>
      <c r="C986" s="3">
        <v>0</v>
      </c>
      <c r="D986" s="3">
        <v>9100</v>
      </c>
      <c r="E986" s="3">
        <v>990</v>
      </c>
      <c r="F986" s="3">
        <v>0</v>
      </c>
      <c r="G986" s="3">
        <v>0</v>
      </c>
      <c r="H986" s="31" t="s">
        <v>1192</v>
      </c>
      <c r="I986" s="32">
        <v>0</v>
      </c>
      <c r="J986" s="32">
        <v>456366</v>
      </c>
      <c r="K986" s="40">
        <v>418937</v>
      </c>
      <c r="L986" s="40">
        <v>472136</v>
      </c>
      <c r="M986" s="451">
        <f>N986-K986</f>
        <v>47873</v>
      </c>
      <c r="N986" s="417">
        <v>466810</v>
      </c>
    </row>
    <row r="987" spans="1:14" ht="27" outlineLevel="6" thickBot="1" x14ac:dyDescent="0.45">
      <c r="A987" s="189"/>
      <c r="B987" s="190"/>
      <c r="C987" s="190"/>
      <c r="D987" s="191" t="s">
        <v>399</v>
      </c>
      <c r="E987" s="190"/>
      <c r="F987" s="190"/>
      <c r="G987" s="190"/>
      <c r="H987" s="192"/>
      <c r="I987" s="193">
        <f>SUBTOTAL(9,I986:I986)</f>
        <v>0</v>
      </c>
      <c r="J987" s="193">
        <f>SUBTOTAL(9,J986:J986)</f>
        <v>456366</v>
      </c>
      <c r="K987" s="194">
        <f>SUBTOTAL(9,K986:K986)</f>
        <v>418937</v>
      </c>
      <c r="L987" s="194">
        <f>SUBTOTAL(9,L986:L986)</f>
        <v>472136</v>
      </c>
      <c r="M987" s="470">
        <f>N987-K987</f>
        <v>47873</v>
      </c>
      <c r="N987" s="438">
        <f>SUBTOTAL(9,N986:N986)</f>
        <v>466810</v>
      </c>
    </row>
    <row r="988" spans="1:14" ht="27" outlineLevel="6" thickBot="1" x14ac:dyDescent="0.45">
      <c r="A988" s="73"/>
      <c r="B988" s="8" t="s">
        <v>255</v>
      </c>
      <c r="C988" s="7"/>
      <c r="D988" s="7"/>
      <c r="E988" s="7"/>
      <c r="F988" s="7"/>
      <c r="G988" s="7"/>
      <c r="H988" s="45"/>
      <c r="I988" s="46">
        <f>SUBTOTAL(9,I982:I986)</f>
        <v>337537</v>
      </c>
      <c r="J988" s="46">
        <f>SUBTOTAL(9,J982:J986)</f>
        <v>794005</v>
      </c>
      <c r="K988" s="47">
        <f>SUBTOTAL(9,K982:K987)</f>
        <v>755960</v>
      </c>
      <c r="L988" s="47">
        <f>SUBTOTAL(9,L982:L986)</f>
        <v>809619</v>
      </c>
      <c r="M988" s="454">
        <f>N988-K988</f>
        <v>48333</v>
      </c>
      <c r="N988" s="419">
        <f>SUBTOTAL(9,N982:N987)</f>
        <v>804293</v>
      </c>
    </row>
    <row r="989" spans="1:14" outlineLevel="6" x14ac:dyDescent="0.4">
      <c r="A989" s="70">
        <v>31</v>
      </c>
      <c r="B989" s="3">
        <v>850</v>
      </c>
      <c r="C989" s="3">
        <v>0</v>
      </c>
      <c r="D989" s="3">
        <v>5100</v>
      </c>
      <c r="E989" s="3">
        <v>314</v>
      </c>
      <c r="F989" s="3">
        <v>0</v>
      </c>
      <c r="G989" s="3">
        <v>0</v>
      </c>
      <c r="H989" s="31" t="s">
        <v>1193</v>
      </c>
      <c r="I989" s="32">
        <v>750</v>
      </c>
      <c r="J989" s="32">
        <v>750</v>
      </c>
      <c r="K989" s="40">
        <v>1050</v>
      </c>
      <c r="L989" s="40">
        <v>1050</v>
      </c>
      <c r="M989" s="451">
        <f>N989-K989</f>
        <v>0</v>
      </c>
      <c r="N989" s="417">
        <v>1050</v>
      </c>
    </row>
    <row r="990" spans="1:14" outlineLevel="6" x14ac:dyDescent="0.4">
      <c r="A990" s="70">
        <v>31</v>
      </c>
      <c r="B990" s="3">
        <v>850</v>
      </c>
      <c r="C990" s="3">
        <v>0</v>
      </c>
      <c r="D990" s="3">
        <v>5100</v>
      </c>
      <c r="E990" s="3">
        <v>831</v>
      </c>
      <c r="F990" s="3">
        <v>0</v>
      </c>
      <c r="G990" s="3">
        <v>0</v>
      </c>
      <c r="H990" s="31" t="s">
        <v>1188</v>
      </c>
      <c r="I990" s="32">
        <v>20054</v>
      </c>
      <c r="J990" s="32">
        <v>18773</v>
      </c>
      <c r="K990" s="40">
        <v>18665</v>
      </c>
      <c r="L990" s="40">
        <v>17443</v>
      </c>
      <c r="M990" s="451">
        <f t="shared" ref="M990:M991" si="173">N990-K990</f>
        <v>-1222</v>
      </c>
      <c r="N990" s="417">
        <v>17443</v>
      </c>
    </row>
    <row r="991" spans="1:14" ht="27" outlineLevel="6" thickBot="1" x14ac:dyDescent="0.45">
      <c r="A991" s="70">
        <v>31</v>
      </c>
      <c r="B991" s="3">
        <v>850</v>
      </c>
      <c r="C991" s="3">
        <v>0</v>
      </c>
      <c r="D991" s="3">
        <v>5100</v>
      </c>
      <c r="E991" s="3">
        <v>910</v>
      </c>
      <c r="F991" s="3">
        <v>0</v>
      </c>
      <c r="G991" s="3">
        <v>0</v>
      </c>
      <c r="H991" s="31" t="s">
        <v>1191</v>
      </c>
      <c r="I991" s="32">
        <v>32759</v>
      </c>
      <c r="J991" s="32">
        <v>34016</v>
      </c>
      <c r="K991" s="40">
        <v>34016</v>
      </c>
      <c r="L991" s="40">
        <v>35321</v>
      </c>
      <c r="M991" s="451">
        <f t="shared" si="173"/>
        <v>1305</v>
      </c>
      <c r="N991" s="417">
        <v>35321</v>
      </c>
    </row>
    <row r="992" spans="1:14" ht="27" outlineLevel="6" thickBot="1" x14ac:dyDescent="0.45">
      <c r="A992" s="189"/>
      <c r="B992" s="190"/>
      <c r="C992" s="190"/>
      <c r="D992" s="191" t="s">
        <v>427</v>
      </c>
      <c r="E992" s="190"/>
      <c r="F992" s="190"/>
      <c r="G992" s="190"/>
      <c r="H992" s="192"/>
      <c r="I992" s="193">
        <f>SUBTOTAL(9,I989:I991)</f>
        <v>53563</v>
      </c>
      <c r="J992" s="193">
        <f>SUBTOTAL(9,J989:J991)</f>
        <v>53539</v>
      </c>
      <c r="K992" s="194">
        <f>SUBTOTAL(9,K989:K991)</f>
        <v>53731</v>
      </c>
      <c r="L992" s="194">
        <f>SUBTOTAL(9,L989:L991)</f>
        <v>53814</v>
      </c>
      <c r="M992" s="470">
        <f>N992-K992</f>
        <v>83</v>
      </c>
      <c r="N992" s="438">
        <f>SUBTOTAL(9,N989:N991)</f>
        <v>53814</v>
      </c>
    </row>
    <row r="993" spans="1:14" ht="27" outlineLevel="6" thickBot="1" x14ac:dyDescent="0.45">
      <c r="A993" s="70">
        <v>31</v>
      </c>
      <c r="B993" s="3">
        <v>850</v>
      </c>
      <c r="C993" s="3">
        <v>0</v>
      </c>
      <c r="D993" s="3">
        <v>9100</v>
      </c>
      <c r="E993" s="3">
        <v>990</v>
      </c>
      <c r="F993" s="3">
        <v>0</v>
      </c>
      <c r="G993" s="3">
        <v>0</v>
      </c>
      <c r="H993" s="31" t="s">
        <v>428</v>
      </c>
      <c r="I993" s="32">
        <v>0</v>
      </c>
      <c r="J993" s="32">
        <v>110402</v>
      </c>
      <c r="K993" s="40">
        <v>95346</v>
      </c>
      <c r="L993" s="40">
        <v>51140</v>
      </c>
      <c r="M993" s="451">
        <f>N993-K993</f>
        <v>19746</v>
      </c>
      <c r="N993" s="417">
        <v>115092</v>
      </c>
    </row>
    <row r="994" spans="1:14" ht="27" outlineLevel="6" thickBot="1" x14ac:dyDescent="0.45">
      <c r="A994" s="189"/>
      <c r="B994" s="190"/>
      <c r="C994" s="190"/>
      <c r="D994" s="191" t="s">
        <v>399</v>
      </c>
      <c r="E994" s="190"/>
      <c r="F994" s="190"/>
      <c r="G994" s="190"/>
      <c r="H994" s="192"/>
      <c r="I994" s="193">
        <f>SUBTOTAL(9,I993:I993)</f>
        <v>0</v>
      </c>
      <c r="J994" s="193">
        <f>SUBTOTAL(9,J993:J993)</f>
        <v>110402</v>
      </c>
      <c r="K994" s="194">
        <f>SUBTOTAL(9,K993:K993)</f>
        <v>95346</v>
      </c>
      <c r="L994" s="194">
        <f>SUBTOTAL(9,L993:L993)</f>
        <v>51140</v>
      </c>
      <c r="M994" s="470">
        <f>N994-K994</f>
        <v>19746</v>
      </c>
      <c r="N994" s="438">
        <f>SUBTOTAL(9,N993:N993)</f>
        <v>115092</v>
      </c>
    </row>
    <row r="995" spans="1:14" ht="27" outlineLevel="6" thickBot="1" x14ac:dyDescent="0.45">
      <c r="A995" s="73"/>
      <c r="B995" s="8" t="s">
        <v>429</v>
      </c>
      <c r="C995" s="7"/>
      <c r="D995" s="7"/>
      <c r="E995" s="7"/>
      <c r="F995" s="7"/>
      <c r="G995" s="7"/>
      <c r="H995" s="45"/>
      <c r="I995" s="46">
        <f>SUBTOTAL(9,I989:I993)</f>
        <v>53563</v>
      </c>
      <c r="J995" s="46">
        <f>SUBTOTAL(9,J989:J993)</f>
        <v>163941</v>
      </c>
      <c r="K995" s="47">
        <f>SUBTOTAL(9,K989:K993)</f>
        <v>149077</v>
      </c>
      <c r="L995" s="47">
        <f>SUBTOTAL(9,L989:L993)</f>
        <v>104954</v>
      </c>
      <c r="M995" s="454">
        <f>N995-K995</f>
        <v>19829</v>
      </c>
      <c r="N995" s="419">
        <f>SUBTOTAL(9,N989:N993)</f>
        <v>168906</v>
      </c>
    </row>
    <row r="996" spans="1:14" ht="27" outlineLevel="6" thickBot="1" x14ac:dyDescent="0.45">
      <c r="A996" s="195" t="s">
        <v>463</v>
      </c>
      <c r="B996" s="196"/>
      <c r="C996" s="196"/>
      <c r="D996" s="196"/>
      <c r="E996" s="196"/>
      <c r="F996" s="196"/>
      <c r="G996" s="196"/>
      <c r="H996" s="197"/>
      <c r="I996" s="198">
        <f>SUBTOTAL(9,I982:I993)</f>
        <v>391100</v>
      </c>
      <c r="J996" s="198">
        <f>SUBTOTAL(9,J982:J993)</f>
        <v>957946</v>
      </c>
      <c r="K996" s="199">
        <f>SUBTOTAL(9,K982:K995)</f>
        <v>905037</v>
      </c>
      <c r="L996" s="199">
        <f>SUBTOTAL(9,L982:L993)</f>
        <v>914573</v>
      </c>
      <c r="M996" s="471">
        <f>N996-K996</f>
        <v>68162</v>
      </c>
      <c r="N996" s="439">
        <f>SUBTOTAL(9,N982:N995)</f>
        <v>973199</v>
      </c>
    </row>
    <row r="997" spans="1:14" ht="27" outlineLevel="6" x14ac:dyDescent="0.45">
      <c r="A997" s="379" t="s">
        <v>1336</v>
      </c>
      <c r="B997" s="372"/>
      <c r="C997" s="372"/>
      <c r="D997" s="372"/>
      <c r="E997" s="372"/>
      <c r="F997" s="372"/>
      <c r="G997" s="372"/>
      <c r="H997" s="373"/>
      <c r="I997" s="373"/>
      <c r="J997" s="373"/>
      <c r="K997" s="376"/>
      <c r="L997" s="374"/>
      <c r="M997" s="375"/>
      <c r="N997" s="440"/>
    </row>
    <row r="998" spans="1:14" outlineLevel="6" x14ac:dyDescent="0.4">
      <c r="A998" s="66" t="s">
        <v>1338</v>
      </c>
      <c r="B998" s="3" t="s">
        <v>437</v>
      </c>
      <c r="C998" s="3">
        <v>0</v>
      </c>
      <c r="D998" s="3">
        <v>0</v>
      </c>
      <c r="E998" s="3">
        <v>1</v>
      </c>
      <c r="F998" s="3">
        <v>0</v>
      </c>
      <c r="G998" s="3">
        <v>0</v>
      </c>
      <c r="H998" s="31" t="s">
        <v>1337</v>
      </c>
      <c r="I998" s="32">
        <v>0</v>
      </c>
      <c r="J998" s="32">
        <v>0</v>
      </c>
      <c r="K998" s="40">
        <v>0</v>
      </c>
      <c r="L998" s="40">
        <v>0</v>
      </c>
      <c r="M998" s="451">
        <f>N998-K998</f>
        <v>0</v>
      </c>
      <c r="N998" s="417">
        <v>0</v>
      </c>
    </row>
    <row r="999" spans="1:14" ht="27" outlineLevel="6" thickBot="1" x14ac:dyDescent="0.45">
      <c r="A999" s="66" t="s">
        <v>1338</v>
      </c>
      <c r="B999" s="3" t="s">
        <v>437</v>
      </c>
      <c r="C999" s="3">
        <v>0</v>
      </c>
      <c r="D999" s="3">
        <v>0</v>
      </c>
      <c r="E999" s="3" t="s">
        <v>585</v>
      </c>
      <c r="F999" s="3">
        <v>0</v>
      </c>
      <c r="G999" s="3" t="s">
        <v>1339</v>
      </c>
      <c r="H999" s="31" t="s">
        <v>1340</v>
      </c>
      <c r="I999" s="32">
        <v>0</v>
      </c>
      <c r="J999" s="32">
        <v>609</v>
      </c>
      <c r="K999" s="40">
        <v>609</v>
      </c>
      <c r="L999" s="40">
        <v>0</v>
      </c>
      <c r="M999" s="451">
        <f>N999-K999</f>
        <v>-609</v>
      </c>
      <c r="N999" s="417">
        <v>0</v>
      </c>
    </row>
    <row r="1000" spans="1:14" s="36" customFormat="1" ht="28.9" customHeight="1" outlineLevel="1" thickBot="1" x14ac:dyDescent="0.45">
      <c r="A1000" s="384" t="s">
        <v>1341</v>
      </c>
      <c r="B1000" s="377"/>
      <c r="C1000" s="377"/>
      <c r="D1000" s="377"/>
      <c r="E1000" s="377"/>
      <c r="F1000" s="377"/>
      <c r="G1000" s="377"/>
      <c r="H1000" s="383"/>
      <c r="I1000" s="378">
        <f>SUBTOTAL(9,I998:I999)</f>
        <v>0</v>
      </c>
      <c r="J1000" s="378">
        <f>SUBTOTAL(9,J998:J999)</f>
        <v>609</v>
      </c>
      <c r="K1000" s="385">
        <f>SUBTOTAL(9,K998:K999)</f>
        <v>609</v>
      </c>
      <c r="L1000" s="385">
        <f>SUBTOTAL(9,L998:L999)</f>
        <v>0</v>
      </c>
      <c r="M1000" s="472">
        <f>N1000-K1000</f>
        <v>-609</v>
      </c>
      <c r="N1000" s="441">
        <f>SUBTOTAL(9,N998:N999)</f>
        <v>0</v>
      </c>
    </row>
    <row r="1001" spans="1:14" s="36" customFormat="1" ht="28.9" customHeight="1" outlineLevel="1" x14ac:dyDescent="0.4">
      <c r="A1001" s="186"/>
      <c r="B1001" s="144"/>
      <c r="C1001" s="144"/>
      <c r="D1001" s="144"/>
      <c r="E1001" s="144"/>
      <c r="F1001" s="144"/>
      <c r="G1001" s="144"/>
      <c r="H1001" s="187"/>
      <c r="I1001" s="188"/>
      <c r="J1001" s="188"/>
      <c r="K1001" s="147"/>
      <c r="L1001" s="147"/>
      <c r="M1001" s="473"/>
      <c r="N1001" s="418"/>
    </row>
    <row r="1002" spans="1:14" ht="27" outlineLevel="6" x14ac:dyDescent="0.45">
      <c r="A1002" s="379" t="s">
        <v>1343</v>
      </c>
      <c r="B1002" s="380"/>
      <c r="C1002" s="380"/>
      <c r="D1002" s="380"/>
      <c r="E1002" s="380"/>
      <c r="F1002" s="380"/>
      <c r="G1002" s="380"/>
      <c r="H1002" s="381"/>
      <c r="I1002" s="381"/>
      <c r="J1002" s="381"/>
      <c r="K1002" s="376"/>
      <c r="L1002" s="374"/>
      <c r="M1002" s="474"/>
      <c r="N1002" s="440"/>
    </row>
    <row r="1003" spans="1:14" ht="27" outlineLevel="5" thickBot="1" x14ac:dyDescent="0.45">
      <c r="A1003" s="142" t="s">
        <v>1338</v>
      </c>
      <c r="B1003" s="143" t="s">
        <v>535</v>
      </c>
      <c r="C1003" s="143">
        <v>0</v>
      </c>
      <c r="D1003" s="143" t="s">
        <v>591</v>
      </c>
      <c r="E1003" s="143">
        <v>730</v>
      </c>
      <c r="F1003" s="143">
        <v>0</v>
      </c>
      <c r="G1003" s="143" t="s">
        <v>1339</v>
      </c>
      <c r="H1003" s="145" t="s">
        <v>1342</v>
      </c>
      <c r="I1003" s="146">
        <v>0</v>
      </c>
      <c r="J1003" s="146">
        <v>609</v>
      </c>
      <c r="K1003" s="147">
        <v>609</v>
      </c>
      <c r="L1003" s="147">
        <v>0</v>
      </c>
      <c r="M1003" s="473">
        <f>N1003-K1003</f>
        <v>-609</v>
      </c>
      <c r="N1003" s="418">
        <v>0</v>
      </c>
    </row>
    <row r="1004" spans="1:14" ht="27" outlineLevel="6" thickBot="1" x14ac:dyDescent="0.45">
      <c r="A1004" s="382" t="s">
        <v>1344</v>
      </c>
      <c r="B1004" s="377"/>
      <c r="C1004" s="377"/>
      <c r="D1004" s="377"/>
      <c r="E1004" s="377"/>
      <c r="F1004" s="377"/>
      <c r="G1004" s="377"/>
      <c r="H1004" s="383"/>
      <c r="I1004" s="378">
        <f>SUBTOTAL(9,I1003:I1003)</f>
        <v>0</v>
      </c>
      <c r="J1004" s="378">
        <f>SUBTOTAL(9,J1003:J1003)</f>
        <v>609</v>
      </c>
      <c r="K1004" s="385">
        <f>SUBTOTAL(9,K1003:K1003)</f>
        <v>609</v>
      </c>
      <c r="L1004" s="385">
        <f>SUBTOTAL(9,L1003:L1003)</f>
        <v>0</v>
      </c>
      <c r="M1004" s="472">
        <f>N1004-K1004</f>
        <v>-609</v>
      </c>
      <c r="N1004" s="441">
        <f>SUBTOTAL(9,N1003:N1003)</f>
        <v>0</v>
      </c>
    </row>
    <row r="1005" spans="1:14" ht="27" outlineLevel="6" x14ac:dyDescent="0.45">
      <c r="A1005" s="115" t="s">
        <v>464</v>
      </c>
      <c r="B1005" s="86"/>
      <c r="C1005" s="86"/>
      <c r="D1005" s="86"/>
      <c r="E1005" s="86"/>
      <c r="F1005" s="86"/>
      <c r="G1005" s="86"/>
      <c r="H1005" s="87"/>
      <c r="I1005" s="87"/>
      <c r="J1005" s="87"/>
      <c r="K1005" s="357"/>
      <c r="L1005" s="88"/>
      <c r="M1005" s="475">
        <f t="shared" ref="M1005" si="174">L1005-K1005</f>
        <v>0</v>
      </c>
      <c r="N1005" s="442"/>
    </row>
    <row r="1006" spans="1:14" outlineLevel="6" x14ac:dyDescent="0.4">
      <c r="A1006" s="66" t="s">
        <v>430</v>
      </c>
      <c r="B1006" s="3">
        <v>500</v>
      </c>
      <c r="C1006" s="3">
        <v>0</v>
      </c>
      <c r="D1006" s="3">
        <v>0</v>
      </c>
      <c r="E1006" s="3">
        <v>1</v>
      </c>
      <c r="F1006" s="3">
        <v>0</v>
      </c>
      <c r="G1006" s="3">
        <v>0</v>
      </c>
      <c r="H1006" s="31" t="s">
        <v>577</v>
      </c>
      <c r="I1006" s="32">
        <v>0</v>
      </c>
      <c r="J1006" s="32">
        <v>271599</v>
      </c>
      <c r="K1006" s="40">
        <v>271599</v>
      </c>
      <c r="L1006" s="40">
        <v>236180</v>
      </c>
      <c r="M1006" s="451">
        <f>N1006-K1006</f>
        <v>-34773</v>
      </c>
      <c r="N1006" s="417">
        <v>236826</v>
      </c>
    </row>
    <row r="1007" spans="1:14" outlineLevel="6" x14ac:dyDescent="0.4">
      <c r="A1007" s="66" t="s">
        <v>430</v>
      </c>
      <c r="B1007" s="3">
        <v>500</v>
      </c>
      <c r="C1007" s="3">
        <v>0</v>
      </c>
      <c r="D1007" s="3">
        <v>0</v>
      </c>
      <c r="E1007" s="3">
        <v>1500</v>
      </c>
      <c r="F1007" s="3">
        <v>0</v>
      </c>
      <c r="G1007" s="3">
        <v>0</v>
      </c>
      <c r="H1007" s="31" t="s">
        <v>578</v>
      </c>
      <c r="I1007" s="32">
        <v>44</v>
      </c>
      <c r="J1007" s="32">
        <v>49</v>
      </c>
      <c r="K1007" s="40">
        <v>50</v>
      </c>
      <c r="L1007" s="40">
        <v>40</v>
      </c>
      <c r="M1007" s="451">
        <f t="shared" ref="M1007:M1009" si="175">N1007-K1007</f>
        <v>-10</v>
      </c>
      <c r="N1007" s="417">
        <v>40</v>
      </c>
    </row>
    <row r="1008" spans="1:14" outlineLevel="6" x14ac:dyDescent="0.4">
      <c r="A1008" s="66" t="s">
        <v>430</v>
      </c>
      <c r="B1008" s="3">
        <v>500</v>
      </c>
      <c r="C1008" s="3">
        <v>0</v>
      </c>
      <c r="D1008" s="3">
        <v>0</v>
      </c>
      <c r="E1008" s="3">
        <v>1501</v>
      </c>
      <c r="F1008" s="3">
        <v>0</v>
      </c>
      <c r="G1008" s="3">
        <v>0</v>
      </c>
      <c r="H1008" s="31" t="s">
        <v>579</v>
      </c>
      <c r="I1008" s="32">
        <v>2194</v>
      </c>
      <c r="J1008" s="32">
        <v>5522</v>
      </c>
      <c r="K1008" s="40">
        <v>4000</v>
      </c>
      <c r="L1008" s="40">
        <v>3500</v>
      </c>
      <c r="M1008" s="451">
        <f t="shared" si="175"/>
        <v>-500</v>
      </c>
      <c r="N1008" s="417">
        <v>3500</v>
      </c>
    </row>
    <row r="1009" spans="1:14" ht="27" outlineLevel="5" thickBot="1" x14ac:dyDescent="0.45">
      <c r="A1009" s="66" t="s">
        <v>430</v>
      </c>
      <c r="B1009" s="3">
        <v>500</v>
      </c>
      <c r="C1009" s="3">
        <v>0</v>
      </c>
      <c r="D1009" s="3">
        <v>0</v>
      </c>
      <c r="E1009" s="3">
        <v>5210</v>
      </c>
      <c r="F1009" s="3">
        <v>0</v>
      </c>
      <c r="G1009" s="3">
        <v>0</v>
      </c>
      <c r="H1009" s="31" t="s">
        <v>431</v>
      </c>
      <c r="I1009" s="32">
        <v>100000</v>
      </c>
      <c r="J1009" s="32">
        <v>100000</v>
      </c>
      <c r="K1009" s="40">
        <v>100000</v>
      </c>
      <c r="L1009" s="40">
        <v>100000</v>
      </c>
      <c r="M1009" s="451">
        <f t="shared" si="175"/>
        <v>0</v>
      </c>
      <c r="N1009" s="417">
        <v>100000</v>
      </c>
    </row>
    <row r="1010" spans="1:14" ht="27" outlineLevel="6" thickBot="1" x14ac:dyDescent="0.45">
      <c r="A1010" s="211"/>
      <c r="B1010" s="212" t="s">
        <v>166</v>
      </c>
      <c r="C1010" s="213"/>
      <c r="D1010" s="213"/>
      <c r="E1010" s="213"/>
      <c r="F1010" s="213"/>
      <c r="G1010" s="213"/>
      <c r="H1010" s="214"/>
      <c r="I1010" s="215">
        <f t="shared" ref="I1010" si="176">SUBTOTAL(9,I1006:I1009)</f>
        <v>102238</v>
      </c>
      <c r="J1010" s="215">
        <f t="shared" ref="J1010:N1010" si="177">SUBTOTAL(9,J1006:J1009)</f>
        <v>377170</v>
      </c>
      <c r="K1010" s="386">
        <f t="shared" ref="K1010" si="178">SUBTOTAL(9,K1006:K1009)</f>
        <v>375649</v>
      </c>
      <c r="L1010" s="386">
        <f t="shared" si="177"/>
        <v>339720</v>
      </c>
      <c r="M1010" s="476">
        <f>N1010-K1010</f>
        <v>-35283</v>
      </c>
      <c r="N1010" s="229">
        <f t="shared" si="177"/>
        <v>340366</v>
      </c>
    </row>
    <row r="1011" spans="1:14" ht="27" outlineLevel="6" thickBot="1" x14ac:dyDescent="0.45">
      <c r="A1011" s="200" t="s">
        <v>477</v>
      </c>
      <c r="B1011" s="230"/>
      <c r="C1011" s="201"/>
      <c r="D1011" s="201"/>
      <c r="E1011" s="201"/>
      <c r="F1011" s="201"/>
      <c r="G1011" s="201"/>
      <c r="H1011" s="202"/>
      <c r="I1011" s="203">
        <f>SUBTOTAL(9,I1006:I1010)</f>
        <v>102238</v>
      </c>
      <c r="J1011" s="203">
        <f>SUBTOTAL(9,J1006:J1010)</f>
        <v>377170</v>
      </c>
      <c r="K1011" s="231">
        <f>SUBTOTAL(9,K1006:K1010)</f>
        <v>375649</v>
      </c>
      <c r="L1011" s="387">
        <f>SUBTOTAL(9,L1006:L1010)</f>
        <v>339720</v>
      </c>
      <c r="M1011" s="388">
        <f>N1011-K1011</f>
        <v>-35283</v>
      </c>
      <c r="N1011" s="231">
        <f>SUBTOTAL(9,N1006:N1010)</f>
        <v>340366</v>
      </c>
    </row>
    <row r="1012" spans="1:14" s="82" customFormat="1" outlineLevel="6" x14ac:dyDescent="0.4">
      <c r="A1012" s="106"/>
      <c r="B1012" s="107"/>
      <c r="C1012" s="107"/>
      <c r="D1012" s="107"/>
      <c r="E1012" s="107"/>
      <c r="F1012" s="107"/>
      <c r="G1012" s="107"/>
      <c r="H1012" s="108"/>
      <c r="I1012" s="109"/>
      <c r="J1012" s="109"/>
      <c r="K1012" s="358"/>
      <c r="L1012" s="110"/>
      <c r="M1012" s="420"/>
      <c r="N1012" s="443"/>
    </row>
    <row r="1013" spans="1:14" ht="27" outlineLevel="6" x14ac:dyDescent="0.45">
      <c r="A1013" s="116" t="s">
        <v>466</v>
      </c>
      <c r="B1013" s="90"/>
      <c r="C1013" s="90"/>
      <c r="D1013" s="90"/>
      <c r="E1013" s="90"/>
      <c r="F1013" s="90"/>
      <c r="G1013" s="90"/>
      <c r="H1013" s="91"/>
      <c r="I1013" s="91"/>
      <c r="J1013" s="91"/>
      <c r="K1013" s="357"/>
      <c r="L1013" s="89"/>
      <c r="M1013" s="477"/>
      <c r="N1013" s="442"/>
    </row>
    <row r="1014" spans="1:14" outlineLevel="6" x14ac:dyDescent="0.4">
      <c r="A1014" s="70">
        <v>43</v>
      </c>
      <c r="B1014" s="3">
        <v>500</v>
      </c>
      <c r="C1014" s="3">
        <v>0</v>
      </c>
      <c r="D1014" s="3">
        <v>2600</v>
      </c>
      <c r="E1014" s="3">
        <v>710</v>
      </c>
      <c r="F1014" s="3">
        <v>0</v>
      </c>
      <c r="G1014" s="3">
        <v>0</v>
      </c>
      <c r="H1014" s="31" t="s">
        <v>432</v>
      </c>
      <c r="I1014" s="32">
        <v>0</v>
      </c>
      <c r="J1014" s="32">
        <v>0</v>
      </c>
      <c r="K1014" s="40">
        <v>100000</v>
      </c>
      <c r="L1014" s="40">
        <v>100000</v>
      </c>
      <c r="M1014" s="451">
        <f>N1014-K1014</f>
        <v>-70000</v>
      </c>
      <c r="N1014" s="417">
        <v>30000</v>
      </c>
    </row>
    <row r="1015" spans="1:14" outlineLevel="6" x14ac:dyDescent="0.4">
      <c r="A1015" s="70" t="s">
        <v>430</v>
      </c>
      <c r="B1015" s="3" t="s">
        <v>524</v>
      </c>
      <c r="C1015" s="3" t="s">
        <v>448</v>
      </c>
      <c r="D1015" s="3" t="s">
        <v>438</v>
      </c>
      <c r="E1015" s="3" t="s">
        <v>559</v>
      </c>
      <c r="F1015" s="3" t="s">
        <v>448</v>
      </c>
      <c r="G1015" s="3" t="s">
        <v>448</v>
      </c>
      <c r="H1015" s="31" t="s">
        <v>576</v>
      </c>
      <c r="I1015" s="32">
        <v>9604</v>
      </c>
      <c r="J1015" s="32">
        <v>36973</v>
      </c>
      <c r="K1015" s="40">
        <v>30000</v>
      </c>
      <c r="L1015" s="40">
        <v>30000</v>
      </c>
      <c r="M1015" s="451">
        <f t="shared" ref="M1015:M1016" si="179">N1015-K1015</f>
        <v>-10000</v>
      </c>
      <c r="N1015" s="417">
        <v>20000</v>
      </c>
    </row>
    <row r="1016" spans="1:14" ht="27" outlineLevel="5" thickBot="1" x14ac:dyDescent="0.45">
      <c r="A1016" s="70">
        <v>43</v>
      </c>
      <c r="B1016" s="3">
        <v>500</v>
      </c>
      <c r="C1016" s="3">
        <v>0</v>
      </c>
      <c r="D1016" s="3">
        <v>2600</v>
      </c>
      <c r="E1016" s="3">
        <v>732</v>
      </c>
      <c r="F1016" s="3">
        <v>0</v>
      </c>
      <c r="G1016" s="3">
        <v>0</v>
      </c>
      <c r="H1016" s="31" t="s">
        <v>433</v>
      </c>
      <c r="I1016" s="32">
        <v>0</v>
      </c>
      <c r="J1016" s="32">
        <v>103372</v>
      </c>
      <c r="K1016" s="40">
        <v>100000</v>
      </c>
      <c r="L1016" s="40">
        <v>50000</v>
      </c>
      <c r="M1016" s="451">
        <f t="shared" si="179"/>
        <v>-65000</v>
      </c>
      <c r="N1016" s="417">
        <v>35000</v>
      </c>
    </row>
    <row r="1017" spans="1:14" ht="27" outlineLevel="6" thickBot="1" x14ac:dyDescent="0.45">
      <c r="A1017" s="204"/>
      <c r="B1017" s="205"/>
      <c r="C1017" s="205"/>
      <c r="D1017" s="206" t="s">
        <v>378</v>
      </c>
      <c r="E1017" s="205"/>
      <c r="F1017" s="205"/>
      <c r="G1017" s="205"/>
      <c r="H1017" s="207"/>
      <c r="I1017" s="208">
        <f>SUBTOTAL(9,I1014:I1016)</f>
        <v>9604</v>
      </c>
      <c r="J1017" s="208">
        <f>SUBTOTAL(9,J1014:J1016)</f>
        <v>140345</v>
      </c>
      <c r="K1017" s="209">
        <f>SUBTOTAL(9,K1014:K1016)</f>
        <v>230000</v>
      </c>
      <c r="L1017" s="209">
        <f>SUBTOTAL(9,L1014:L1016)</f>
        <v>180000</v>
      </c>
      <c r="M1017" s="478">
        <f t="shared" ref="M1017:M1023" si="180">N1017-K1017</f>
        <v>-145000</v>
      </c>
      <c r="N1017" s="444">
        <f>SUBTOTAL(9,N1014:N1016)</f>
        <v>85000</v>
      </c>
    </row>
    <row r="1018" spans="1:14" s="82" customFormat="1" outlineLevel="6" x14ac:dyDescent="0.4">
      <c r="A1018" s="151" t="s">
        <v>430</v>
      </c>
      <c r="B1018" s="143" t="s">
        <v>524</v>
      </c>
      <c r="C1018" s="143" t="s">
        <v>448</v>
      </c>
      <c r="D1018" s="143" t="s">
        <v>448</v>
      </c>
      <c r="E1018" s="143" t="s">
        <v>556</v>
      </c>
      <c r="F1018" s="143" t="s">
        <v>448</v>
      </c>
      <c r="G1018" s="143" t="s">
        <v>448</v>
      </c>
      <c r="H1018" s="145" t="s">
        <v>1195</v>
      </c>
      <c r="I1018" s="146">
        <v>10800</v>
      </c>
      <c r="J1018" s="146">
        <v>24580</v>
      </c>
      <c r="K1018" s="147">
        <v>24500</v>
      </c>
      <c r="L1018" s="147">
        <v>38200</v>
      </c>
      <c r="M1018" s="473">
        <f t="shared" si="180"/>
        <v>13630</v>
      </c>
      <c r="N1018" s="418">
        <v>38130</v>
      </c>
    </row>
    <row r="1019" spans="1:14" s="82" customFormat="1" ht="27" outlineLevel="6" thickBot="1" x14ac:dyDescent="0.45">
      <c r="A1019" s="151" t="s">
        <v>430</v>
      </c>
      <c r="B1019" s="143" t="s">
        <v>524</v>
      </c>
      <c r="C1019" s="143" t="s">
        <v>448</v>
      </c>
      <c r="D1019" s="143" t="s">
        <v>2214</v>
      </c>
      <c r="E1019" s="143" t="s">
        <v>2215</v>
      </c>
      <c r="F1019" s="143" t="s">
        <v>448</v>
      </c>
      <c r="G1019" s="143" t="s">
        <v>448</v>
      </c>
      <c r="H1019" s="145" t="s">
        <v>1194</v>
      </c>
      <c r="I1019" s="146">
        <v>13700</v>
      </c>
      <c r="J1019" s="146">
        <v>13550</v>
      </c>
      <c r="K1019" s="147">
        <v>13550</v>
      </c>
      <c r="L1019" s="147">
        <v>13700</v>
      </c>
      <c r="M1019" s="473">
        <f t="shared" si="180"/>
        <v>350</v>
      </c>
      <c r="N1019" s="418">
        <v>13900</v>
      </c>
    </row>
    <row r="1020" spans="1:14" ht="27" outlineLevel="6" thickBot="1" x14ac:dyDescent="0.45">
      <c r="A1020" s="204"/>
      <c r="B1020" s="205"/>
      <c r="C1020" s="205"/>
      <c r="D1020" s="206" t="s">
        <v>557</v>
      </c>
      <c r="E1020" s="205"/>
      <c r="F1020" s="205"/>
      <c r="G1020" s="205"/>
      <c r="H1020" s="207"/>
      <c r="I1020" s="208">
        <f>SUBTOTAL(9,I1018:I1019)</f>
        <v>24500</v>
      </c>
      <c r="J1020" s="208">
        <f>SUBTOTAL(9,J1018:J1019)</f>
        <v>38130</v>
      </c>
      <c r="K1020" s="209">
        <f>SUBTOTAL(9,K1018:K1019)</f>
        <v>38050</v>
      </c>
      <c r="L1020" s="210">
        <f>SUBTOTAL(9,L1018:L1019)</f>
        <v>51900</v>
      </c>
      <c r="M1020" s="478">
        <f t="shared" si="180"/>
        <v>13980</v>
      </c>
      <c r="N1020" s="444">
        <f>SUBTOTAL(9,N1018:N1019)</f>
        <v>52030</v>
      </c>
    </row>
    <row r="1021" spans="1:14" ht="27" outlineLevel="6" thickBot="1" x14ac:dyDescent="0.45">
      <c r="A1021" s="70">
        <v>43</v>
      </c>
      <c r="B1021" s="3" t="s">
        <v>524</v>
      </c>
      <c r="C1021" s="3">
        <v>0</v>
      </c>
      <c r="D1021" s="3">
        <v>9100</v>
      </c>
      <c r="E1021" s="3">
        <v>900</v>
      </c>
      <c r="F1021" s="3">
        <v>0</v>
      </c>
      <c r="G1021" s="3">
        <v>0</v>
      </c>
      <c r="H1021" s="31" t="s">
        <v>434</v>
      </c>
      <c r="I1021" s="32">
        <v>0</v>
      </c>
      <c r="J1021" s="32">
        <v>198695</v>
      </c>
      <c r="K1021" s="40">
        <v>107599</v>
      </c>
      <c r="L1021" s="40">
        <v>107820</v>
      </c>
      <c r="M1021" s="451">
        <f t="shared" si="180"/>
        <v>95737</v>
      </c>
      <c r="N1021" s="417">
        <v>203336</v>
      </c>
    </row>
    <row r="1022" spans="1:14" ht="27" outlineLevel="6" thickBot="1" x14ac:dyDescent="0.45">
      <c r="A1022" s="204"/>
      <c r="B1022" s="205"/>
      <c r="C1022" s="205"/>
      <c r="D1022" s="206" t="s">
        <v>399</v>
      </c>
      <c r="E1022" s="205"/>
      <c r="F1022" s="205"/>
      <c r="G1022" s="205"/>
      <c r="H1022" s="207"/>
      <c r="I1022" s="208">
        <f>SUBTOTAL(9,I1021:I1021)</f>
        <v>0</v>
      </c>
      <c r="J1022" s="208">
        <f>SUBTOTAL(9,J1021:J1021)</f>
        <v>198695</v>
      </c>
      <c r="K1022" s="209">
        <f>SUBTOTAL(9,K1021:K1021)</f>
        <v>107599</v>
      </c>
      <c r="L1022" s="209">
        <f>SUBTOTAL(9,L1021:L1021)</f>
        <v>107820</v>
      </c>
      <c r="M1022" s="478">
        <f t="shared" si="180"/>
        <v>95737</v>
      </c>
      <c r="N1022" s="444">
        <f>SUBTOTAL(9,N1021:N1021)</f>
        <v>203336</v>
      </c>
    </row>
    <row r="1023" spans="1:14" ht="27" outlineLevel="6" thickBot="1" x14ac:dyDescent="0.45">
      <c r="A1023" s="211"/>
      <c r="B1023" s="212" t="s">
        <v>524</v>
      </c>
      <c r="C1023" s="213"/>
      <c r="D1023" s="213"/>
      <c r="E1023" s="213"/>
      <c r="F1023" s="213"/>
      <c r="G1023" s="213"/>
      <c r="H1023" s="214"/>
      <c r="I1023" s="215">
        <f>SUBTOTAL(9,I1014:I1021)</f>
        <v>34104</v>
      </c>
      <c r="J1023" s="215">
        <f>SUBTOTAL(9,J1014:J1021)</f>
        <v>377170</v>
      </c>
      <c r="K1023" s="228">
        <f>SUBTOTAL(9,K1014:K1021)</f>
        <v>375649</v>
      </c>
      <c r="L1023" s="228">
        <f>SUBTOTAL(9,L1014:L1021)</f>
        <v>339720</v>
      </c>
      <c r="M1023" s="476">
        <f t="shared" si="180"/>
        <v>-35283</v>
      </c>
      <c r="N1023" s="228">
        <f>SUBTOTAL(9,N1014:N1021)</f>
        <v>340366</v>
      </c>
    </row>
    <row r="1024" spans="1:14" ht="27" outlineLevel="6" thickBot="1" x14ac:dyDescent="0.45">
      <c r="A1024" s="92" t="s">
        <v>465</v>
      </c>
      <c r="B1024" s="93"/>
      <c r="C1024" s="93"/>
      <c r="D1024" s="93"/>
      <c r="E1024" s="93"/>
      <c r="F1024" s="93"/>
      <c r="G1024" s="93"/>
      <c r="H1024" s="94"/>
      <c r="I1024" s="95">
        <f>SUBTOTAL(9,I1014:I1023)</f>
        <v>34104</v>
      </c>
      <c r="J1024" s="95">
        <f>SUBTOTAL(9,J1014:J1023)</f>
        <v>377170</v>
      </c>
      <c r="K1024" s="389">
        <f>SUBTOTAL(9,K1014:K1023)</f>
        <v>375649</v>
      </c>
      <c r="L1024" s="389">
        <f>SUBTOTAL(9,L1014:L1023)</f>
        <v>339720</v>
      </c>
      <c r="M1024" s="479">
        <f>N1024-K1024</f>
        <v>-35283</v>
      </c>
      <c r="N1024" s="445">
        <f>SUBTOTAL(9,N1014:N1023)</f>
        <v>340366</v>
      </c>
    </row>
    <row r="1025" spans="1:14" outlineLevel="6" x14ac:dyDescent="0.4">
      <c r="A1025" s="99" t="s">
        <v>2339</v>
      </c>
      <c r="B1025" s="96"/>
      <c r="C1025" s="96"/>
      <c r="D1025" s="96"/>
      <c r="E1025" s="96"/>
      <c r="F1025" s="96"/>
      <c r="G1025" s="96"/>
      <c r="H1025" s="97"/>
      <c r="I1025" s="97"/>
      <c r="J1025" s="97"/>
      <c r="K1025" s="359"/>
      <c r="L1025" s="98"/>
      <c r="M1025" s="150"/>
      <c r="N1025" s="446"/>
    </row>
    <row r="1026" spans="1:14" outlineLevel="6" x14ac:dyDescent="0.4">
      <c r="A1026" s="66" t="s">
        <v>2335</v>
      </c>
      <c r="B1026" s="3">
        <v>500</v>
      </c>
      <c r="C1026" s="3">
        <v>0</v>
      </c>
      <c r="D1026" s="3">
        <v>0</v>
      </c>
      <c r="E1026" s="3">
        <v>1</v>
      </c>
      <c r="F1026" s="3">
        <v>0</v>
      </c>
      <c r="G1026" s="3">
        <v>0</v>
      </c>
      <c r="H1026" s="31" t="s">
        <v>435</v>
      </c>
      <c r="I1026" s="32">
        <v>0</v>
      </c>
      <c r="J1026" s="32">
        <v>23877</v>
      </c>
      <c r="K1026" s="40">
        <v>23877</v>
      </c>
      <c r="L1026" s="40">
        <v>20000</v>
      </c>
      <c r="M1026" s="451">
        <f>N1026-K1026</f>
        <v>-1634</v>
      </c>
      <c r="N1026" s="417">
        <v>22243</v>
      </c>
    </row>
    <row r="1027" spans="1:14" ht="27" outlineLevel="6" thickBot="1" x14ac:dyDescent="0.45">
      <c r="A1027" s="66" t="s">
        <v>2335</v>
      </c>
      <c r="B1027" s="3">
        <v>500</v>
      </c>
      <c r="C1027" s="3">
        <v>0</v>
      </c>
      <c r="D1027" s="3">
        <v>0</v>
      </c>
      <c r="E1027" s="3">
        <v>1900</v>
      </c>
      <c r="F1027" s="3">
        <v>0</v>
      </c>
      <c r="G1027" s="3">
        <v>0</v>
      </c>
      <c r="H1027" s="31" t="s">
        <v>1114</v>
      </c>
      <c r="I1027" s="32">
        <v>25000</v>
      </c>
      <c r="J1027" s="32">
        <v>26358</v>
      </c>
      <c r="K1027" s="40">
        <v>75000</v>
      </c>
      <c r="L1027" s="40">
        <v>80000</v>
      </c>
      <c r="M1027" s="451">
        <f t="shared" ref="M1027" si="181">N1027-K1027</f>
        <v>5000</v>
      </c>
      <c r="N1027" s="417">
        <v>80000</v>
      </c>
    </row>
    <row r="1028" spans="1:14" ht="27" outlineLevel="6" thickBot="1" x14ac:dyDescent="0.45">
      <c r="A1028" s="216" t="s">
        <v>2338</v>
      </c>
      <c r="B1028" s="101"/>
      <c r="C1028" s="101"/>
      <c r="D1028" s="101"/>
      <c r="E1028" s="101"/>
      <c r="F1028" s="101"/>
      <c r="G1028" s="101"/>
      <c r="H1028" s="102"/>
      <c r="I1028" s="103">
        <f>SUBTOTAL(9,I1026:I1027)</f>
        <v>25000</v>
      </c>
      <c r="J1028" s="103">
        <f>SUBTOTAL(9,J1026:J1027)</f>
        <v>50235</v>
      </c>
      <c r="K1028" s="104">
        <f>SUBTOTAL(9,K1026:K1027)</f>
        <v>98877</v>
      </c>
      <c r="L1028" s="104">
        <f>SUBTOTAL(9,L1026:L1027)</f>
        <v>100000</v>
      </c>
      <c r="M1028" s="480">
        <f>N1028-K1028</f>
        <v>3366</v>
      </c>
      <c r="N1028" s="447">
        <f>SUBTOTAL(9,N1026:N1027)</f>
        <v>102243</v>
      </c>
    </row>
    <row r="1029" spans="1:14" s="82" customFormat="1" outlineLevel="6" x14ac:dyDescent="0.4">
      <c r="A1029" s="68"/>
      <c r="B1029" s="15"/>
      <c r="C1029" s="15"/>
      <c r="D1029" s="15"/>
      <c r="E1029" s="15"/>
      <c r="F1029" s="15"/>
      <c r="G1029" s="15"/>
      <c r="H1029" s="37"/>
      <c r="I1029" s="38"/>
      <c r="J1029" s="38"/>
      <c r="K1029" s="39"/>
      <c r="L1029" s="39"/>
      <c r="M1029" s="461"/>
      <c r="N1029" s="421"/>
    </row>
    <row r="1030" spans="1:14" outlineLevel="6" x14ac:dyDescent="0.4">
      <c r="A1030" s="99" t="s">
        <v>2337</v>
      </c>
      <c r="B1030" s="96"/>
      <c r="C1030" s="96"/>
      <c r="D1030" s="96"/>
      <c r="E1030" s="96"/>
      <c r="F1030" s="96"/>
      <c r="G1030" s="96"/>
      <c r="H1030" s="97"/>
      <c r="I1030" s="97"/>
      <c r="J1030" s="97"/>
      <c r="K1030" s="359"/>
      <c r="L1030" s="98"/>
      <c r="M1030" s="150"/>
      <c r="N1030" s="446"/>
    </row>
    <row r="1031" spans="1:14" ht="27" outlineLevel="5" thickBot="1" x14ac:dyDescent="0.45">
      <c r="A1031" s="70" t="s">
        <v>2335</v>
      </c>
      <c r="B1031" s="3">
        <v>500</v>
      </c>
      <c r="C1031" s="3">
        <v>0</v>
      </c>
      <c r="D1031" s="3">
        <v>1800</v>
      </c>
      <c r="E1031" s="3">
        <v>600</v>
      </c>
      <c r="F1031" s="3">
        <v>0</v>
      </c>
      <c r="G1031" s="3">
        <v>0</v>
      </c>
      <c r="H1031" s="31" t="s">
        <v>1115</v>
      </c>
      <c r="I1031" s="32">
        <v>20000</v>
      </c>
      <c r="J1031" s="32">
        <v>27993</v>
      </c>
      <c r="K1031" s="40">
        <v>98877</v>
      </c>
      <c r="L1031" s="40">
        <v>100000</v>
      </c>
      <c r="M1031" s="451">
        <f t="shared" ref="M1031:M1034" si="182">N1031-K1031</f>
        <v>3366</v>
      </c>
      <c r="N1031" s="417">
        <v>102243</v>
      </c>
    </row>
    <row r="1032" spans="1:14" ht="27" outlineLevel="6" thickBot="1" x14ac:dyDescent="0.45">
      <c r="A1032" s="166"/>
      <c r="B1032" s="167"/>
      <c r="C1032" s="167"/>
      <c r="D1032" s="168" t="s">
        <v>150</v>
      </c>
      <c r="E1032" s="167"/>
      <c r="F1032" s="167"/>
      <c r="G1032" s="167"/>
      <c r="H1032" s="169"/>
      <c r="I1032" s="170">
        <f>SUBTOTAL(9,I1031:I1031)</f>
        <v>20000</v>
      </c>
      <c r="J1032" s="170">
        <f>SUBTOTAL(9,J1031:J1031)</f>
        <v>27993</v>
      </c>
      <c r="K1032" s="171">
        <f>SUBTOTAL(9,K1031:K1031)</f>
        <v>98877</v>
      </c>
      <c r="L1032" s="171">
        <f>SUBTOTAL(9,L1031:L1031)</f>
        <v>100000</v>
      </c>
      <c r="M1032" s="466">
        <f t="shared" si="182"/>
        <v>3366</v>
      </c>
      <c r="N1032" s="433">
        <f>SUBTOTAL(9,N1031:N1031)</f>
        <v>102243</v>
      </c>
    </row>
    <row r="1033" spans="1:14" ht="27" outlineLevel="5" thickBot="1" x14ac:dyDescent="0.45">
      <c r="A1033" s="217"/>
      <c r="B1033" s="218" t="s">
        <v>166</v>
      </c>
      <c r="C1033" s="219"/>
      <c r="D1033" s="219"/>
      <c r="E1033" s="219"/>
      <c r="F1033" s="219"/>
      <c r="G1033" s="219"/>
      <c r="H1033" s="220"/>
      <c r="I1033" s="221">
        <f>SUBTOTAL(9,I1031:I1031)</f>
        <v>20000</v>
      </c>
      <c r="J1033" s="221">
        <f>SUBTOTAL(9,J1031:J1031)</f>
        <v>27993</v>
      </c>
      <c r="K1033" s="222">
        <f>SUBTOTAL(9,K1031:K1032)</f>
        <v>98877</v>
      </c>
      <c r="L1033" s="222">
        <f>SUBTOTAL(9,L1031:L1031)</f>
        <v>100000</v>
      </c>
      <c r="M1033" s="481">
        <f t="shared" si="182"/>
        <v>3366</v>
      </c>
      <c r="N1033" s="448">
        <f>SUBTOTAL(9,N1031:N1032)</f>
        <v>102243</v>
      </c>
    </row>
    <row r="1034" spans="1:14" ht="27" outlineLevel="6" thickBot="1" x14ac:dyDescent="0.45">
      <c r="A1034" s="100" t="s">
        <v>2336</v>
      </c>
      <c r="B1034" s="101"/>
      <c r="C1034" s="101"/>
      <c r="D1034" s="101"/>
      <c r="E1034" s="101"/>
      <c r="F1034" s="101"/>
      <c r="G1034" s="101"/>
      <c r="H1034" s="102"/>
      <c r="I1034" s="103">
        <f>SUBTOTAL(9,I1031:I1033)</f>
        <v>20000</v>
      </c>
      <c r="J1034" s="103">
        <f>SUBTOTAL(9,J1031:J1033)</f>
        <v>27993</v>
      </c>
      <c r="K1034" s="104">
        <f>SUBTOTAL(9,K1031:K1033)</f>
        <v>98877</v>
      </c>
      <c r="L1034" s="104">
        <f>L1033</f>
        <v>100000</v>
      </c>
      <c r="M1034" s="480">
        <f t="shared" si="182"/>
        <v>3366</v>
      </c>
      <c r="N1034" s="447">
        <f>SUBTOTAL(9,N1031:N1033)</f>
        <v>102243</v>
      </c>
    </row>
    <row r="1035" spans="1:14" ht="27" outlineLevel="6" thickBot="1" x14ac:dyDescent="0.45">
      <c r="A1035" s="117" t="s">
        <v>467</v>
      </c>
      <c r="B1035" s="105"/>
      <c r="C1035" s="105"/>
      <c r="D1035" s="105"/>
      <c r="E1035" s="105" t="s">
        <v>402</v>
      </c>
      <c r="F1035" s="105"/>
      <c r="G1035" s="105"/>
      <c r="H1035" s="105"/>
      <c r="I1035" s="105"/>
      <c r="J1035" s="105"/>
      <c r="K1035" s="360"/>
      <c r="L1035" s="154">
        <f>SUM(L853+L920+L969+L996+L1024+L1034)</f>
        <v>6076127</v>
      </c>
      <c r="M1035" s="482"/>
      <c r="N1035" s="449">
        <f>SUM(N853+N920+N969+N996+N1024+N1034+N1004)</f>
        <v>6490781</v>
      </c>
    </row>
    <row r="1036" spans="1:14" x14ac:dyDescent="0.4">
      <c r="A1036" s="232"/>
      <c r="B1036" s="232"/>
      <c r="C1036" s="232"/>
      <c r="D1036" s="232"/>
      <c r="E1036" s="232"/>
      <c r="F1036" s="232"/>
      <c r="G1036" s="233"/>
      <c r="H1036" s="233"/>
      <c r="I1036" s="233"/>
      <c r="J1036" s="233"/>
      <c r="K1036" s="234"/>
      <c r="L1036" s="236"/>
      <c r="M1036" s="234"/>
      <c r="N1036" s="235"/>
    </row>
    <row r="1037" spans="1:14" x14ac:dyDescent="0.4">
      <c r="J1037" s="27"/>
      <c r="M1037" s="27"/>
    </row>
  </sheetData>
  <printOptions gridLines="1"/>
  <pageMargins left="0.25" right="0.25" top="0.75" bottom="0.75" header="0.3" footer="0.3"/>
  <pageSetup scale="41" fitToHeight="45" orientation="landscape" r:id="rId1"/>
  <headerFooter>
    <oddHeader>&amp;C&amp;12 2019-2020 Budget
Moffat Consolidated School District #2
December 11, 2019</oddHeader>
    <oddFooter>&amp;CPage &amp;P of &amp;N</oddFooter>
  </headerFooter>
  <rowBreaks count="2" manualBreakCount="2">
    <brk id="62" max="13" man="1"/>
    <brk id="853"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8"/>
  <sheetViews>
    <sheetView zoomScale="80" zoomScaleNormal="80" workbookViewId="0">
      <selection activeCell="K378" sqref="K378"/>
    </sheetView>
  </sheetViews>
  <sheetFormatPr defaultColWidth="9.140625" defaultRowHeight="15.75" x14ac:dyDescent="0.25"/>
  <cols>
    <col min="1" max="1" width="36.42578125" style="332" customWidth="1"/>
    <col min="2" max="2" width="34.28515625" style="330" customWidth="1"/>
    <col min="3" max="3" width="14" style="537" customWidth="1"/>
    <col min="4" max="4" width="15.85546875" style="537" customWidth="1"/>
    <col min="5" max="5" width="14.85546875" style="537" customWidth="1"/>
    <col min="6" max="6" width="14.5703125" style="537" customWidth="1"/>
    <col min="7" max="7" width="14.85546875" style="514" customWidth="1"/>
    <col min="8" max="8" width="15.5703125" style="514" customWidth="1"/>
    <col min="9" max="9" width="14.140625" style="514" customWidth="1"/>
    <col min="10" max="10" width="13.7109375" style="396" customWidth="1"/>
    <col min="11" max="11" width="32.28515625" style="330" customWidth="1"/>
    <col min="12" max="12" width="18.7109375" style="330" customWidth="1"/>
    <col min="13" max="16384" width="9.140625" style="330"/>
  </cols>
  <sheetData>
    <row r="1" spans="1:10" ht="54.75" customHeight="1" x14ac:dyDescent="0.25">
      <c r="A1" s="332" t="s">
        <v>1226</v>
      </c>
      <c r="B1" s="329"/>
      <c r="C1" s="511" t="s">
        <v>1388</v>
      </c>
      <c r="D1" s="511" t="s">
        <v>2463</v>
      </c>
      <c r="E1" s="511" t="s">
        <v>2467</v>
      </c>
      <c r="F1" s="512" t="s">
        <v>2464</v>
      </c>
      <c r="G1" s="512" t="s">
        <v>2465</v>
      </c>
      <c r="H1" s="513" t="s">
        <v>2466</v>
      </c>
      <c r="I1" s="528"/>
      <c r="J1" s="330"/>
    </row>
    <row r="2" spans="1:10" ht="15.6" customHeight="1" x14ac:dyDescent="0.25">
      <c r="A2" s="390" t="s">
        <v>752</v>
      </c>
      <c r="B2" s="390" t="s">
        <v>668</v>
      </c>
      <c r="C2" s="514">
        <v>743670.8</v>
      </c>
      <c r="D2" s="514">
        <v>650000</v>
      </c>
      <c r="E2" s="514">
        <v>743670.8</v>
      </c>
      <c r="F2" s="514">
        <v>742671</v>
      </c>
      <c r="G2" s="515">
        <v>750000</v>
      </c>
      <c r="H2" s="515">
        <v>826262</v>
      </c>
      <c r="I2" s="550"/>
      <c r="J2" s="330"/>
    </row>
    <row r="3" spans="1:10" s="331" customFormat="1" ht="15" x14ac:dyDescent="0.2">
      <c r="A3" s="391"/>
      <c r="B3" s="391"/>
      <c r="C3" s="514"/>
      <c r="D3" s="514"/>
      <c r="E3" s="514"/>
      <c r="F3" s="514"/>
      <c r="G3" s="516"/>
      <c r="H3" s="516"/>
      <c r="I3" s="532"/>
    </row>
    <row r="4" spans="1:10" x14ac:dyDescent="0.25">
      <c r="A4" s="391" t="s">
        <v>753</v>
      </c>
      <c r="B4" s="391" t="s">
        <v>754</v>
      </c>
      <c r="C4" s="514">
        <v>1250.27</v>
      </c>
      <c r="D4" s="514">
        <v>550</v>
      </c>
      <c r="E4" s="514">
        <v>550</v>
      </c>
      <c r="F4" s="514">
        <v>2021</v>
      </c>
      <c r="G4" s="515">
        <v>1848</v>
      </c>
      <c r="H4" s="515">
        <v>1848</v>
      </c>
      <c r="I4" s="528"/>
      <c r="J4" s="330"/>
    </row>
    <row r="5" spans="1:10" x14ac:dyDescent="0.25">
      <c r="A5" s="391" t="s">
        <v>755</v>
      </c>
      <c r="B5" s="391" t="s">
        <v>756</v>
      </c>
      <c r="C5" s="514">
        <v>25001.4</v>
      </c>
      <c r="D5" s="514">
        <v>5000</v>
      </c>
      <c r="E5" s="514">
        <v>5000</v>
      </c>
      <c r="F5" s="514">
        <v>10670</v>
      </c>
      <c r="G5" s="515">
        <v>5000</v>
      </c>
      <c r="H5" s="515">
        <v>5000</v>
      </c>
      <c r="I5" s="528"/>
      <c r="J5" s="330"/>
    </row>
    <row r="6" spans="1:10" s="528" customFormat="1" x14ac:dyDescent="0.25">
      <c r="A6" s="565" t="s">
        <v>768</v>
      </c>
      <c r="B6" s="565" t="s">
        <v>769</v>
      </c>
      <c r="C6" s="514">
        <v>30000</v>
      </c>
      <c r="D6" s="514">
        <v>0</v>
      </c>
      <c r="E6" s="514">
        <v>25188.3</v>
      </c>
      <c r="F6" s="514">
        <v>14799</v>
      </c>
      <c r="G6" s="515">
        <v>0</v>
      </c>
      <c r="H6" s="515">
        <v>10389</v>
      </c>
    </row>
    <row r="7" spans="1:10" x14ac:dyDescent="0.25">
      <c r="A7" s="391" t="s">
        <v>1505</v>
      </c>
      <c r="B7" s="391" t="s">
        <v>1506</v>
      </c>
      <c r="C7" s="514">
        <v>0</v>
      </c>
      <c r="D7" s="514">
        <v>0</v>
      </c>
      <c r="E7" s="514">
        <v>0</v>
      </c>
      <c r="F7" s="514">
        <v>0</v>
      </c>
      <c r="G7" s="514">
        <v>0</v>
      </c>
      <c r="H7" s="514">
        <v>0</v>
      </c>
      <c r="I7" s="528"/>
      <c r="J7" s="330"/>
    </row>
    <row r="8" spans="1:10" x14ac:dyDescent="0.25">
      <c r="A8" s="391" t="s">
        <v>1507</v>
      </c>
      <c r="B8" s="391" t="s">
        <v>1508</v>
      </c>
      <c r="C8" s="514">
        <v>0</v>
      </c>
      <c r="D8" s="514">
        <v>0</v>
      </c>
      <c r="E8" s="514">
        <v>0</v>
      </c>
      <c r="F8" s="514">
        <v>0</v>
      </c>
      <c r="G8" s="514">
        <v>0</v>
      </c>
      <c r="H8" s="514">
        <v>0</v>
      </c>
      <c r="I8" s="528"/>
      <c r="J8" s="406"/>
    </row>
    <row r="9" spans="1:10" s="528" customFormat="1" x14ac:dyDescent="0.25">
      <c r="A9" s="565" t="s">
        <v>2468</v>
      </c>
      <c r="B9" s="565" t="s">
        <v>2469</v>
      </c>
      <c r="C9" s="514">
        <v>0</v>
      </c>
      <c r="D9" s="514">
        <v>0</v>
      </c>
      <c r="E9" s="514">
        <v>0</v>
      </c>
      <c r="F9" s="514">
        <v>0</v>
      </c>
      <c r="G9" s="514">
        <v>0</v>
      </c>
      <c r="H9" s="514">
        <v>60000</v>
      </c>
      <c r="J9" s="566"/>
    </row>
    <row r="10" spans="1:10" x14ac:dyDescent="0.25">
      <c r="A10" s="391" t="s">
        <v>757</v>
      </c>
      <c r="B10" s="391" t="s">
        <v>758</v>
      </c>
      <c r="C10" s="514">
        <v>10000</v>
      </c>
      <c r="D10" s="514">
        <v>0</v>
      </c>
      <c r="E10" s="514">
        <v>754.43</v>
      </c>
      <c r="F10" s="514">
        <v>1598</v>
      </c>
      <c r="G10" s="515">
        <v>10000</v>
      </c>
      <c r="H10" s="515">
        <v>9157</v>
      </c>
      <c r="I10" s="528"/>
      <c r="J10" s="330"/>
    </row>
    <row r="11" spans="1:10" x14ac:dyDescent="0.25">
      <c r="A11" s="391" t="s">
        <v>759</v>
      </c>
      <c r="B11" s="391" t="s">
        <v>760</v>
      </c>
      <c r="C11" s="514">
        <v>1565.3</v>
      </c>
      <c r="D11" s="514">
        <v>15000</v>
      </c>
      <c r="E11" s="514">
        <v>15000</v>
      </c>
      <c r="F11" s="514">
        <v>11671</v>
      </c>
      <c r="G11" s="515">
        <v>4800</v>
      </c>
      <c r="H11" s="515">
        <v>4800</v>
      </c>
      <c r="I11" s="528"/>
      <c r="J11" s="330"/>
    </row>
    <row r="12" spans="1:10" x14ac:dyDescent="0.25">
      <c r="A12" s="391" t="s">
        <v>761</v>
      </c>
      <c r="B12" s="391" t="s">
        <v>762</v>
      </c>
      <c r="C12" s="514">
        <v>6232.84</v>
      </c>
      <c r="D12" s="514">
        <v>5000</v>
      </c>
      <c r="E12" s="514">
        <v>6480</v>
      </c>
      <c r="F12" s="514">
        <v>6480</v>
      </c>
      <c r="G12" s="515">
        <v>5389</v>
      </c>
      <c r="H12" s="515">
        <v>5389</v>
      </c>
      <c r="I12" s="528"/>
      <c r="J12" s="406"/>
    </row>
    <row r="13" spans="1:10" x14ac:dyDescent="0.25">
      <c r="A13" s="391" t="s">
        <v>2222</v>
      </c>
      <c r="B13" s="391" t="s">
        <v>763</v>
      </c>
      <c r="C13" s="514">
        <v>19836.03</v>
      </c>
      <c r="D13" s="514">
        <v>21660</v>
      </c>
      <c r="E13" s="517">
        <v>23053.78</v>
      </c>
      <c r="F13" s="514">
        <v>20323</v>
      </c>
      <c r="G13" s="518">
        <v>22319.64</v>
      </c>
      <c r="H13" s="518">
        <v>30840</v>
      </c>
      <c r="I13" s="528"/>
      <c r="J13" s="330"/>
    </row>
    <row r="14" spans="1:10" x14ac:dyDescent="0.25">
      <c r="A14" s="391" t="s">
        <v>2225</v>
      </c>
      <c r="B14" s="391" t="s">
        <v>767</v>
      </c>
      <c r="C14" s="514">
        <v>87719.87</v>
      </c>
      <c r="D14" s="514">
        <v>0</v>
      </c>
      <c r="E14" s="514">
        <v>15000</v>
      </c>
      <c r="F14" s="514">
        <v>10052</v>
      </c>
      <c r="G14" s="514">
        <v>5000</v>
      </c>
      <c r="H14" s="514">
        <v>2290</v>
      </c>
      <c r="I14" s="528"/>
      <c r="J14" s="330"/>
    </row>
    <row r="15" spans="1:10" s="528" customFormat="1" x14ac:dyDescent="0.25">
      <c r="A15" s="565" t="s">
        <v>2478</v>
      </c>
      <c r="B15" s="565" t="s">
        <v>2479</v>
      </c>
      <c r="C15" s="514">
        <v>0</v>
      </c>
      <c r="D15" s="514">
        <v>0</v>
      </c>
      <c r="E15" s="514">
        <v>0</v>
      </c>
      <c r="F15" s="514">
        <v>0</v>
      </c>
      <c r="G15" s="515">
        <v>0</v>
      </c>
      <c r="H15" s="515">
        <v>1087</v>
      </c>
    </row>
    <row r="16" spans="1:10" s="528" customFormat="1" x14ac:dyDescent="0.25">
      <c r="A16" s="565" t="s">
        <v>2477</v>
      </c>
      <c r="B16" s="565" t="s">
        <v>2476</v>
      </c>
      <c r="C16" s="514">
        <v>0</v>
      </c>
      <c r="D16" s="514">
        <v>0</v>
      </c>
      <c r="E16" s="514">
        <v>0</v>
      </c>
      <c r="F16" s="514">
        <v>0</v>
      </c>
      <c r="G16" s="515">
        <v>0</v>
      </c>
      <c r="H16" s="515">
        <v>926</v>
      </c>
    </row>
    <row r="17" spans="1:10" x14ac:dyDescent="0.25">
      <c r="A17" s="391" t="s">
        <v>1398</v>
      </c>
      <c r="B17" s="391" t="s">
        <v>1281</v>
      </c>
      <c r="C17" s="514">
        <v>0</v>
      </c>
      <c r="D17" s="514">
        <v>0</v>
      </c>
      <c r="E17" s="514">
        <v>53016</v>
      </c>
      <c r="F17" s="514">
        <v>43833</v>
      </c>
      <c r="G17" s="515">
        <v>53016</v>
      </c>
      <c r="H17" s="515">
        <v>51541</v>
      </c>
      <c r="I17" s="528"/>
      <c r="J17" s="330"/>
    </row>
    <row r="18" spans="1:10" x14ac:dyDescent="0.25">
      <c r="A18" s="391" t="s">
        <v>770</v>
      </c>
      <c r="B18" s="391" t="s">
        <v>771</v>
      </c>
      <c r="C18" s="514">
        <v>4883.8999999999996</v>
      </c>
      <c r="D18" s="514">
        <v>4500</v>
      </c>
      <c r="E18" s="514">
        <v>8842</v>
      </c>
      <c r="F18" s="514">
        <v>8842</v>
      </c>
      <c r="G18" s="514">
        <v>7513.11</v>
      </c>
      <c r="H18" s="514">
        <v>4474</v>
      </c>
      <c r="I18" s="528"/>
      <c r="J18" s="330"/>
    </row>
    <row r="19" spans="1:10" x14ac:dyDescent="0.25">
      <c r="A19" s="391" t="s">
        <v>1394</v>
      </c>
      <c r="B19" s="391" t="s">
        <v>1395</v>
      </c>
      <c r="C19" s="514">
        <v>0</v>
      </c>
      <c r="D19" s="514">
        <v>0</v>
      </c>
      <c r="E19" s="514">
        <v>30429.57</v>
      </c>
      <c r="F19" s="514">
        <v>30429</v>
      </c>
      <c r="G19" s="515">
        <v>0</v>
      </c>
      <c r="H19" s="515">
        <v>20918</v>
      </c>
      <c r="I19" s="528"/>
      <c r="J19" s="330"/>
    </row>
    <row r="20" spans="1:10" s="528" customFormat="1" x14ac:dyDescent="0.25">
      <c r="A20" s="565" t="s">
        <v>2472</v>
      </c>
      <c r="B20" s="565" t="s">
        <v>2473</v>
      </c>
      <c r="C20" s="514">
        <v>0</v>
      </c>
      <c r="D20" s="514">
        <v>0</v>
      </c>
      <c r="E20" s="514">
        <v>0</v>
      </c>
      <c r="F20" s="514">
        <v>1954</v>
      </c>
      <c r="G20" s="515">
        <v>0</v>
      </c>
      <c r="H20" s="515">
        <v>995</v>
      </c>
    </row>
    <row r="21" spans="1:10" s="528" customFormat="1" x14ac:dyDescent="0.25">
      <c r="A21" s="565" t="s">
        <v>2470</v>
      </c>
      <c r="B21" s="565" t="s">
        <v>2471</v>
      </c>
      <c r="C21" s="514">
        <v>0</v>
      </c>
      <c r="D21" s="514">
        <v>0</v>
      </c>
      <c r="E21" s="517">
        <v>0</v>
      </c>
      <c r="F21" s="514">
        <v>0</v>
      </c>
      <c r="G21" s="518">
        <v>0</v>
      </c>
      <c r="H21" s="518">
        <v>6546</v>
      </c>
    </row>
    <row r="22" spans="1:10" s="528" customFormat="1" x14ac:dyDescent="0.25">
      <c r="A22" s="565" t="s">
        <v>2474</v>
      </c>
      <c r="B22" s="565" t="s">
        <v>2475</v>
      </c>
      <c r="C22" s="514">
        <v>0</v>
      </c>
      <c r="D22" s="514">
        <v>0</v>
      </c>
      <c r="E22" s="514">
        <v>0</v>
      </c>
      <c r="F22" s="514">
        <v>3092</v>
      </c>
      <c r="G22" s="515">
        <v>0</v>
      </c>
      <c r="H22" s="515">
        <v>0</v>
      </c>
    </row>
    <row r="23" spans="1:10" x14ac:dyDescent="0.25">
      <c r="A23" s="391" t="s">
        <v>1389</v>
      </c>
      <c r="B23" s="391" t="s">
        <v>1390</v>
      </c>
      <c r="C23" s="514">
        <v>0</v>
      </c>
      <c r="D23" s="514">
        <v>0</v>
      </c>
      <c r="E23" s="517">
        <v>34900</v>
      </c>
      <c r="F23" s="514">
        <v>36643</v>
      </c>
      <c r="G23" s="518">
        <v>20312</v>
      </c>
      <c r="H23" s="518">
        <v>31102</v>
      </c>
      <c r="I23" s="528"/>
      <c r="J23" s="330"/>
    </row>
    <row r="24" spans="1:10" x14ac:dyDescent="0.25">
      <c r="A24" s="391" t="s">
        <v>1391</v>
      </c>
      <c r="B24" s="391" t="s">
        <v>1392</v>
      </c>
      <c r="C24" s="514">
        <v>10627.27</v>
      </c>
      <c r="D24" s="514">
        <v>4000</v>
      </c>
      <c r="E24" s="514">
        <v>6919</v>
      </c>
      <c r="F24" s="514">
        <v>6541</v>
      </c>
      <c r="G24" s="515">
        <v>4000</v>
      </c>
      <c r="H24" s="515">
        <v>4878</v>
      </c>
      <c r="I24" s="528"/>
      <c r="J24" s="330"/>
    </row>
    <row r="25" spans="1:10" x14ac:dyDescent="0.25">
      <c r="A25" s="391" t="s">
        <v>2223</v>
      </c>
      <c r="B25" s="391" t="s">
        <v>1393</v>
      </c>
      <c r="C25" s="514">
        <v>0</v>
      </c>
      <c r="D25" s="514">
        <v>0</v>
      </c>
      <c r="E25" s="514">
        <v>2260</v>
      </c>
      <c r="F25" s="514">
        <v>1668</v>
      </c>
      <c r="G25" s="515">
        <v>2260</v>
      </c>
      <c r="H25" s="515">
        <v>3377</v>
      </c>
      <c r="I25" s="528"/>
      <c r="J25" s="330"/>
    </row>
    <row r="26" spans="1:10" x14ac:dyDescent="0.25">
      <c r="A26" s="391" t="s">
        <v>1396</v>
      </c>
      <c r="B26" s="391" t="s">
        <v>1397</v>
      </c>
      <c r="C26" s="514">
        <v>35226.379999999997</v>
      </c>
      <c r="D26" s="514">
        <v>0</v>
      </c>
      <c r="E26" s="514">
        <v>0</v>
      </c>
      <c r="F26" s="514">
        <v>24833</v>
      </c>
      <c r="G26" s="515">
        <v>0</v>
      </c>
      <c r="H26" s="515">
        <v>74498</v>
      </c>
      <c r="I26" s="528"/>
      <c r="J26" s="330"/>
    </row>
    <row r="27" spans="1:10" x14ac:dyDescent="0.25">
      <c r="A27" s="391" t="s">
        <v>2224</v>
      </c>
      <c r="B27" s="391" t="s">
        <v>766</v>
      </c>
      <c r="C27" s="514">
        <v>11071.12</v>
      </c>
      <c r="D27" s="514">
        <v>5000</v>
      </c>
      <c r="E27" s="514">
        <v>17571</v>
      </c>
      <c r="F27" s="514">
        <v>17571</v>
      </c>
      <c r="G27" s="515">
        <v>5000</v>
      </c>
      <c r="H27" s="515">
        <v>4746</v>
      </c>
      <c r="I27" s="528"/>
      <c r="J27" s="330"/>
    </row>
    <row r="28" spans="1:10" x14ac:dyDescent="0.25">
      <c r="A28" s="391" t="s">
        <v>764</v>
      </c>
      <c r="B28" s="391" t="s">
        <v>765</v>
      </c>
      <c r="C28" s="514">
        <v>892297.7</v>
      </c>
      <c r="D28" s="514">
        <f>SUM(13350.32*81.5)</f>
        <v>1088051.08</v>
      </c>
      <c r="E28" s="514">
        <f>SUM(14000*78.5)</f>
        <v>1099000</v>
      </c>
      <c r="F28" s="514">
        <v>1170632</v>
      </c>
      <c r="G28" s="515">
        <f>SUM(14172*75.5)</f>
        <v>1069986</v>
      </c>
      <c r="H28" s="515">
        <v>1247136</v>
      </c>
      <c r="I28" s="528"/>
      <c r="J28" s="330"/>
    </row>
    <row r="29" spans="1:10" x14ac:dyDescent="0.25">
      <c r="A29" s="390" t="s">
        <v>772</v>
      </c>
      <c r="B29" s="390" t="s">
        <v>772</v>
      </c>
      <c r="C29" s="519">
        <f t="shared" ref="C29:H29" si="0">SUM(C4:C28)</f>
        <v>1135712.0799999998</v>
      </c>
      <c r="D29" s="519">
        <f t="shared" si="0"/>
        <v>1148761.08</v>
      </c>
      <c r="E29" s="519">
        <f t="shared" si="0"/>
        <v>1343964.08</v>
      </c>
      <c r="F29" s="519">
        <f t="shared" si="0"/>
        <v>1423652</v>
      </c>
      <c r="G29" s="520">
        <f t="shared" si="0"/>
        <v>1216443.75</v>
      </c>
      <c r="H29" s="520">
        <f t="shared" si="0"/>
        <v>1581937</v>
      </c>
      <c r="I29" s="528"/>
      <c r="J29" s="330"/>
    </row>
    <row r="30" spans="1:10" x14ac:dyDescent="0.25">
      <c r="A30" s="390"/>
      <c r="B30" s="390"/>
      <c r="C30" s="514"/>
      <c r="D30" s="514"/>
      <c r="E30" s="514"/>
      <c r="F30" s="514"/>
      <c r="G30" s="516"/>
      <c r="H30" s="516"/>
      <c r="I30" s="528"/>
      <c r="J30" s="330"/>
    </row>
    <row r="31" spans="1:10" s="331" customFormat="1" x14ac:dyDescent="0.25">
      <c r="A31" s="390" t="s">
        <v>677</v>
      </c>
      <c r="B31" s="390" t="s">
        <v>677</v>
      </c>
      <c r="C31" s="519">
        <f>SUM(C29,C30)</f>
        <v>1135712.0799999998</v>
      </c>
      <c r="D31" s="519">
        <f t="shared" ref="D31:E31" si="1">SUM(D29,D30)</f>
        <v>1148761.08</v>
      </c>
      <c r="E31" s="519">
        <f t="shared" si="1"/>
        <v>1343964.08</v>
      </c>
      <c r="F31" s="519">
        <f>SUM(F29,F30)</f>
        <v>1423652</v>
      </c>
      <c r="G31" s="520">
        <f t="shared" ref="G31" si="2">SUM(G29,G30)</f>
        <v>1216443.75</v>
      </c>
      <c r="H31" s="520">
        <f t="shared" ref="H31" si="3">SUM(H29,H30)</f>
        <v>1581937</v>
      </c>
      <c r="I31" s="532"/>
    </row>
    <row r="32" spans="1:10" x14ac:dyDescent="0.25">
      <c r="A32" s="390"/>
      <c r="B32" s="390"/>
      <c r="C32" s="514"/>
      <c r="D32" s="514"/>
      <c r="E32" s="514"/>
      <c r="F32" s="514"/>
      <c r="G32" s="516"/>
      <c r="H32" s="516"/>
      <c r="I32" s="528"/>
      <c r="J32" s="330"/>
    </row>
    <row r="33" spans="1:10" s="331" customFormat="1" x14ac:dyDescent="0.25">
      <c r="A33" s="390" t="s">
        <v>773</v>
      </c>
      <c r="B33" s="390" t="s">
        <v>773</v>
      </c>
      <c r="C33" s="519">
        <f t="shared" ref="C33:H33" si="4">SUM(C2,C31)</f>
        <v>1879382.88</v>
      </c>
      <c r="D33" s="519">
        <f t="shared" si="4"/>
        <v>1798761.08</v>
      </c>
      <c r="E33" s="519">
        <f t="shared" si="4"/>
        <v>2087634.8800000001</v>
      </c>
      <c r="F33" s="519">
        <f t="shared" si="4"/>
        <v>2166323</v>
      </c>
      <c r="G33" s="520">
        <f t="shared" si="4"/>
        <v>1966443.75</v>
      </c>
      <c r="H33" s="520">
        <f t="shared" si="4"/>
        <v>2408199</v>
      </c>
      <c r="I33" s="532"/>
    </row>
    <row r="34" spans="1:10" s="331" customFormat="1" x14ac:dyDescent="0.25">
      <c r="A34" s="390"/>
      <c r="B34" s="390" t="s">
        <v>774</v>
      </c>
      <c r="C34" s="519">
        <v>30000</v>
      </c>
      <c r="D34" s="519">
        <v>30000</v>
      </c>
      <c r="E34" s="519">
        <v>30000</v>
      </c>
      <c r="F34" s="519">
        <v>30000</v>
      </c>
      <c r="G34" s="520">
        <v>30000</v>
      </c>
      <c r="H34" s="520">
        <v>168465</v>
      </c>
      <c r="I34" s="528"/>
    </row>
    <row r="35" spans="1:10" s="331" customFormat="1" x14ac:dyDescent="0.25">
      <c r="A35" s="390"/>
      <c r="B35" s="390"/>
      <c r="C35" s="514"/>
      <c r="D35" s="514"/>
      <c r="E35" s="514"/>
      <c r="F35" s="514"/>
      <c r="G35" s="516"/>
      <c r="H35" s="516"/>
      <c r="I35" s="532"/>
    </row>
    <row r="36" spans="1:10" s="331" customFormat="1" x14ac:dyDescent="0.25">
      <c r="A36" s="328" t="s">
        <v>775</v>
      </c>
      <c r="B36" s="328" t="s">
        <v>775</v>
      </c>
      <c r="C36" s="519">
        <f>SUM(C33-C34)</f>
        <v>1849382.88</v>
      </c>
      <c r="D36" s="519">
        <f t="shared" ref="D36:E36" si="5">SUM(D33-D34)</f>
        <v>1768761.08</v>
      </c>
      <c r="E36" s="519">
        <f t="shared" si="5"/>
        <v>2057634.8800000001</v>
      </c>
      <c r="F36" s="519">
        <f>SUM(F33-F34)</f>
        <v>2136323</v>
      </c>
      <c r="G36" s="520">
        <f t="shared" ref="G36:H36" si="6">SUM(G33-G34)</f>
        <v>1936443.75</v>
      </c>
      <c r="H36" s="520">
        <f t="shared" si="6"/>
        <v>2239734</v>
      </c>
      <c r="I36" s="532"/>
    </row>
    <row r="37" spans="1:10" s="331" customFormat="1" x14ac:dyDescent="0.25">
      <c r="A37" s="328"/>
      <c r="B37" s="328"/>
      <c r="C37" s="519"/>
      <c r="D37" s="519"/>
      <c r="E37" s="519"/>
      <c r="F37" s="519"/>
      <c r="G37" s="521"/>
      <c r="H37" s="521"/>
      <c r="I37" s="532"/>
    </row>
    <row r="38" spans="1:10" s="331" customFormat="1" ht="15" x14ac:dyDescent="0.2">
      <c r="A38" s="332" t="s">
        <v>776</v>
      </c>
      <c r="B38" s="332" t="s">
        <v>777</v>
      </c>
      <c r="C38" s="514">
        <v>46196</v>
      </c>
      <c r="D38" s="514">
        <v>49109</v>
      </c>
      <c r="E38" s="514">
        <v>19909</v>
      </c>
      <c r="F38" s="514">
        <v>19274</v>
      </c>
      <c r="G38" s="514">
        <v>49741</v>
      </c>
      <c r="H38" s="514">
        <v>49741</v>
      </c>
      <c r="I38" s="532"/>
    </row>
    <row r="39" spans="1:10" s="532" customFormat="1" ht="15" x14ac:dyDescent="0.2">
      <c r="A39" s="567" t="s">
        <v>2480</v>
      </c>
      <c r="B39" s="567" t="s">
        <v>777</v>
      </c>
      <c r="C39" s="514">
        <v>0</v>
      </c>
      <c r="D39" s="514">
        <v>0</v>
      </c>
      <c r="E39" s="514">
        <v>0</v>
      </c>
      <c r="F39" s="514">
        <v>29200</v>
      </c>
      <c r="G39" s="514">
        <v>0</v>
      </c>
      <c r="H39" s="514">
        <v>0</v>
      </c>
    </row>
    <row r="40" spans="1:10" x14ac:dyDescent="0.25">
      <c r="A40" s="332" t="s">
        <v>2227</v>
      </c>
      <c r="B40" s="332" t="s">
        <v>67</v>
      </c>
      <c r="C40" s="514">
        <v>135</v>
      </c>
      <c r="D40" s="514">
        <v>147</v>
      </c>
      <c r="E40" s="514">
        <v>60</v>
      </c>
      <c r="F40" s="514">
        <v>143</v>
      </c>
      <c r="G40" s="515">
        <v>149</v>
      </c>
      <c r="H40" s="515">
        <v>149</v>
      </c>
      <c r="I40" s="528"/>
      <c r="J40" s="330"/>
    </row>
    <row r="41" spans="1:10" x14ac:dyDescent="0.25">
      <c r="A41" s="332" t="s">
        <v>778</v>
      </c>
      <c r="B41" s="332" t="s">
        <v>225</v>
      </c>
      <c r="C41" s="514">
        <v>651</v>
      </c>
      <c r="D41" s="514">
        <v>712</v>
      </c>
      <c r="E41" s="514">
        <v>289</v>
      </c>
      <c r="F41" s="514">
        <v>693</v>
      </c>
      <c r="G41" s="515">
        <v>721</v>
      </c>
      <c r="H41" s="515">
        <v>721</v>
      </c>
      <c r="I41" s="528"/>
      <c r="J41" s="330"/>
    </row>
    <row r="42" spans="1:10" s="331" customFormat="1" ht="15" x14ac:dyDescent="0.2">
      <c r="A42" s="332" t="s">
        <v>779</v>
      </c>
      <c r="B42" s="332" t="s">
        <v>581</v>
      </c>
      <c r="C42" s="514">
        <v>8938</v>
      </c>
      <c r="D42" s="514">
        <v>9895</v>
      </c>
      <c r="E42" s="514">
        <v>4012</v>
      </c>
      <c r="F42" s="514">
        <v>9605</v>
      </c>
      <c r="G42" s="515">
        <v>10147</v>
      </c>
      <c r="H42" s="515">
        <v>10147</v>
      </c>
      <c r="I42" s="532"/>
    </row>
    <row r="43" spans="1:10" s="331" customFormat="1" ht="15" x14ac:dyDescent="0.2">
      <c r="A43" s="332" t="s">
        <v>780</v>
      </c>
      <c r="B43" s="332" t="s">
        <v>781</v>
      </c>
      <c r="C43" s="514">
        <v>5697</v>
      </c>
      <c r="D43" s="514">
        <v>6000</v>
      </c>
      <c r="E43" s="514">
        <v>6000</v>
      </c>
      <c r="F43" s="514">
        <v>6016</v>
      </c>
      <c r="G43" s="515">
        <v>6000</v>
      </c>
      <c r="H43" s="515">
        <v>6170</v>
      </c>
      <c r="I43" s="532"/>
    </row>
    <row r="44" spans="1:10" s="331" customFormat="1" ht="15" x14ac:dyDescent="0.2">
      <c r="A44" s="332" t="s">
        <v>782</v>
      </c>
      <c r="B44" s="332" t="s">
        <v>783</v>
      </c>
      <c r="C44" s="514">
        <v>889</v>
      </c>
      <c r="D44" s="514">
        <v>1200</v>
      </c>
      <c r="E44" s="514">
        <v>1200</v>
      </c>
      <c r="F44" s="514">
        <v>1200</v>
      </c>
      <c r="G44" s="515">
        <v>1200</v>
      </c>
      <c r="H44" s="515">
        <v>1200</v>
      </c>
      <c r="I44" s="532"/>
    </row>
    <row r="45" spans="1:10" x14ac:dyDescent="0.25">
      <c r="A45" s="332" t="s">
        <v>784</v>
      </c>
      <c r="B45" s="332" t="s">
        <v>785</v>
      </c>
      <c r="C45" s="514">
        <v>117</v>
      </c>
      <c r="D45" s="514">
        <v>750</v>
      </c>
      <c r="E45" s="514">
        <v>750</v>
      </c>
      <c r="F45" s="514">
        <v>117</v>
      </c>
      <c r="G45" s="515">
        <v>750</v>
      </c>
      <c r="H45" s="515">
        <v>750</v>
      </c>
      <c r="I45" s="528"/>
      <c r="J45" s="330"/>
    </row>
    <row r="46" spans="1:10" x14ac:dyDescent="0.25">
      <c r="A46" s="332" t="s">
        <v>786</v>
      </c>
      <c r="B46" s="332" t="s">
        <v>787</v>
      </c>
      <c r="C46" s="514">
        <v>69</v>
      </c>
      <c r="D46" s="514">
        <v>250</v>
      </c>
      <c r="E46" s="514">
        <v>250</v>
      </c>
      <c r="F46" s="514">
        <v>222</v>
      </c>
      <c r="G46" s="515">
        <v>250</v>
      </c>
      <c r="H46" s="515">
        <v>250</v>
      </c>
      <c r="I46" s="528"/>
      <c r="J46" s="330"/>
    </row>
    <row r="47" spans="1:10" s="528" customFormat="1" x14ac:dyDescent="0.25">
      <c r="A47" s="567" t="s">
        <v>2481</v>
      </c>
      <c r="B47" s="567" t="s">
        <v>2482</v>
      </c>
      <c r="C47" s="514">
        <v>0</v>
      </c>
      <c r="D47" s="514">
        <v>0</v>
      </c>
      <c r="E47" s="514">
        <v>0</v>
      </c>
      <c r="F47" s="514">
        <v>0</v>
      </c>
      <c r="G47" s="515">
        <v>0</v>
      </c>
      <c r="H47" s="515">
        <v>6546</v>
      </c>
    </row>
    <row r="48" spans="1:10" s="331" customFormat="1" x14ac:dyDescent="0.25">
      <c r="A48" s="328" t="s">
        <v>788</v>
      </c>
      <c r="B48" s="328"/>
      <c r="C48" s="519">
        <f t="shared" ref="C48:H48" si="7">SUM(C38:C47)</f>
        <v>62692</v>
      </c>
      <c r="D48" s="519">
        <f t="shared" si="7"/>
        <v>68063</v>
      </c>
      <c r="E48" s="519">
        <f t="shared" si="7"/>
        <v>32470</v>
      </c>
      <c r="F48" s="519">
        <f t="shared" si="7"/>
        <v>66470</v>
      </c>
      <c r="G48" s="520">
        <f t="shared" si="7"/>
        <v>68958</v>
      </c>
      <c r="H48" s="520">
        <f t="shared" si="7"/>
        <v>75674</v>
      </c>
      <c r="I48" s="532"/>
    </row>
    <row r="49" spans="1:10" x14ac:dyDescent="0.25">
      <c r="B49" s="332"/>
      <c r="C49" s="514"/>
      <c r="D49" s="514"/>
      <c r="E49" s="514"/>
      <c r="F49" s="514"/>
      <c r="G49" s="516"/>
      <c r="H49" s="516"/>
      <c r="I49" s="528"/>
      <c r="J49" s="330"/>
    </row>
    <row r="50" spans="1:10" x14ac:dyDescent="0.25">
      <c r="A50" s="332" t="s">
        <v>789</v>
      </c>
      <c r="B50" s="332" t="s">
        <v>790</v>
      </c>
      <c r="C50" s="514">
        <v>33842</v>
      </c>
      <c r="D50" s="514">
        <v>33309</v>
      </c>
      <c r="E50" s="514">
        <v>33309</v>
      </c>
      <c r="F50" s="514">
        <v>33141</v>
      </c>
      <c r="G50" s="522">
        <v>33941</v>
      </c>
      <c r="H50" s="522">
        <v>38365</v>
      </c>
      <c r="I50" s="528"/>
      <c r="J50" s="330"/>
    </row>
    <row r="51" spans="1:10" x14ac:dyDescent="0.25">
      <c r="A51" s="332" t="s">
        <v>2228</v>
      </c>
      <c r="B51" s="332" t="s">
        <v>67</v>
      </c>
      <c r="C51" s="514">
        <v>101</v>
      </c>
      <c r="D51" s="514">
        <v>100</v>
      </c>
      <c r="E51" s="514">
        <v>100</v>
      </c>
      <c r="F51" s="514">
        <v>98</v>
      </c>
      <c r="G51" s="515">
        <v>102</v>
      </c>
      <c r="H51" s="515">
        <v>115</v>
      </c>
      <c r="I51" s="528"/>
      <c r="J51" s="330"/>
    </row>
    <row r="52" spans="1:10" x14ac:dyDescent="0.25">
      <c r="A52" s="332" t="s">
        <v>791</v>
      </c>
      <c r="B52" s="332" t="s">
        <v>225</v>
      </c>
      <c r="C52" s="514">
        <v>488</v>
      </c>
      <c r="D52" s="514">
        <v>483</v>
      </c>
      <c r="E52" s="514">
        <v>483</v>
      </c>
      <c r="F52" s="514">
        <v>474</v>
      </c>
      <c r="G52" s="515">
        <v>492</v>
      </c>
      <c r="H52" s="515">
        <v>556</v>
      </c>
      <c r="I52" s="528"/>
      <c r="J52" s="330"/>
    </row>
    <row r="53" spans="1:10" x14ac:dyDescent="0.25">
      <c r="A53" s="332" t="s">
        <v>792</v>
      </c>
      <c r="B53" s="332" t="s">
        <v>581</v>
      </c>
      <c r="C53" s="514">
        <v>6701</v>
      </c>
      <c r="D53" s="514">
        <v>6712</v>
      </c>
      <c r="E53" s="514">
        <v>6712</v>
      </c>
      <c r="F53" s="514">
        <v>6555</v>
      </c>
      <c r="G53" s="515">
        <v>6924</v>
      </c>
      <c r="H53" s="515">
        <v>7826</v>
      </c>
      <c r="I53" s="528"/>
      <c r="J53" s="330"/>
    </row>
    <row r="54" spans="1:10" x14ac:dyDescent="0.25">
      <c r="A54" s="332" t="s">
        <v>793</v>
      </c>
      <c r="B54" s="332" t="s">
        <v>781</v>
      </c>
      <c r="C54" s="514">
        <v>5747</v>
      </c>
      <c r="D54" s="514">
        <v>6000</v>
      </c>
      <c r="E54" s="514">
        <v>6000</v>
      </c>
      <c r="F54" s="514">
        <v>5497</v>
      </c>
      <c r="G54" s="515">
        <v>6000</v>
      </c>
      <c r="H54" s="515">
        <v>6170</v>
      </c>
      <c r="I54" s="528"/>
      <c r="J54" s="330"/>
    </row>
    <row r="55" spans="1:10" x14ac:dyDescent="0.25">
      <c r="A55" s="332" t="s">
        <v>794</v>
      </c>
      <c r="B55" s="332" t="s">
        <v>783</v>
      </c>
      <c r="C55" s="514">
        <v>1874</v>
      </c>
      <c r="D55" s="514">
        <v>2000</v>
      </c>
      <c r="E55" s="514">
        <v>2000</v>
      </c>
      <c r="F55" s="514">
        <v>2059</v>
      </c>
      <c r="G55" s="515">
        <v>2000</v>
      </c>
      <c r="H55" s="515">
        <v>2000</v>
      </c>
      <c r="I55" s="528"/>
      <c r="J55" s="330"/>
    </row>
    <row r="56" spans="1:10" x14ac:dyDescent="0.25">
      <c r="A56" s="332" t="s">
        <v>795</v>
      </c>
      <c r="B56" s="332" t="s">
        <v>785</v>
      </c>
      <c r="C56" s="514">
        <v>740</v>
      </c>
      <c r="D56" s="514">
        <v>750</v>
      </c>
      <c r="E56" s="514">
        <v>750</v>
      </c>
      <c r="F56" s="514">
        <v>685</v>
      </c>
      <c r="G56" s="515">
        <v>750</v>
      </c>
      <c r="H56" s="515">
        <v>750</v>
      </c>
      <c r="I56" s="528"/>
      <c r="J56" s="330"/>
    </row>
    <row r="57" spans="1:10" x14ac:dyDescent="0.25">
      <c r="A57" s="332" t="s">
        <v>796</v>
      </c>
      <c r="B57" s="332" t="s">
        <v>787</v>
      </c>
      <c r="C57" s="514">
        <v>287</v>
      </c>
      <c r="D57" s="514">
        <v>250</v>
      </c>
      <c r="E57" s="514">
        <v>250</v>
      </c>
      <c r="F57" s="514">
        <v>240</v>
      </c>
      <c r="G57" s="515">
        <v>250</v>
      </c>
      <c r="H57" s="515">
        <v>250</v>
      </c>
      <c r="I57" s="528"/>
      <c r="J57" s="330"/>
    </row>
    <row r="58" spans="1:10" s="331" customFormat="1" x14ac:dyDescent="0.25">
      <c r="A58" s="328" t="s">
        <v>797</v>
      </c>
      <c r="B58" s="328"/>
      <c r="C58" s="519">
        <f t="shared" ref="C58:H58" si="8">SUM(C50:C57)</f>
        <v>49780</v>
      </c>
      <c r="D58" s="519">
        <f t="shared" si="8"/>
        <v>49604</v>
      </c>
      <c r="E58" s="519">
        <f t="shared" si="8"/>
        <v>49604</v>
      </c>
      <c r="F58" s="519">
        <f t="shared" si="8"/>
        <v>48749</v>
      </c>
      <c r="G58" s="520">
        <f t="shared" si="8"/>
        <v>50459</v>
      </c>
      <c r="H58" s="520">
        <f t="shared" si="8"/>
        <v>56032</v>
      </c>
      <c r="I58" s="532"/>
    </row>
    <row r="59" spans="1:10" s="331" customFormat="1" x14ac:dyDescent="0.25">
      <c r="A59" s="328"/>
      <c r="B59" s="328"/>
      <c r="C59" s="514"/>
      <c r="D59" s="514"/>
      <c r="E59" s="514"/>
      <c r="F59" s="514"/>
      <c r="G59" s="516"/>
      <c r="H59" s="516"/>
      <c r="I59" s="532"/>
    </row>
    <row r="60" spans="1:10" s="331" customFormat="1" ht="15" x14ac:dyDescent="0.2">
      <c r="A60" s="332" t="s">
        <v>798</v>
      </c>
      <c r="B60" s="332" t="s">
        <v>799</v>
      </c>
      <c r="C60" s="514">
        <v>33045</v>
      </c>
      <c r="D60" s="514">
        <v>32677</v>
      </c>
      <c r="E60" s="514">
        <v>32677</v>
      </c>
      <c r="F60" s="514">
        <v>32877</v>
      </c>
      <c r="G60" s="522">
        <v>33309</v>
      </c>
      <c r="H60" s="522">
        <v>33309</v>
      </c>
      <c r="I60" s="532"/>
    </row>
    <row r="61" spans="1:10" s="331" customFormat="1" ht="15" x14ac:dyDescent="0.2">
      <c r="A61" s="332" t="s">
        <v>2229</v>
      </c>
      <c r="B61" s="332" t="s">
        <v>67</v>
      </c>
      <c r="C61" s="514">
        <v>100</v>
      </c>
      <c r="D61" s="514">
        <v>98</v>
      </c>
      <c r="E61" s="514">
        <v>98</v>
      </c>
      <c r="F61" s="514">
        <v>97</v>
      </c>
      <c r="G61" s="515">
        <v>100</v>
      </c>
      <c r="H61" s="515">
        <v>100</v>
      </c>
      <c r="I61" s="532"/>
    </row>
    <row r="62" spans="1:10" s="331" customFormat="1" ht="15" x14ac:dyDescent="0.2">
      <c r="A62" s="332" t="s">
        <v>800</v>
      </c>
      <c r="B62" s="332" t="s">
        <v>225</v>
      </c>
      <c r="C62" s="514">
        <v>481</v>
      </c>
      <c r="D62" s="514">
        <v>474</v>
      </c>
      <c r="E62" s="514">
        <v>474</v>
      </c>
      <c r="F62" s="514">
        <v>469</v>
      </c>
      <c r="G62" s="515">
        <v>483</v>
      </c>
      <c r="H62" s="515">
        <v>483</v>
      </c>
      <c r="I62" s="532"/>
    </row>
    <row r="63" spans="1:10" s="331" customFormat="1" ht="15" x14ac:dyDescent="0.2">
      <c r="A63" s="332" t="s">
        <v>801</v>
      </c>
      <c r="B63" s="332" t="s">
        <v>581</v>
      </c>
      <c r="C63" s="514">
        <v>6595</v>
      </c>
      <c r="D63" s="514">
        <v>6584</v>
      </c>
      <c r="E63" s="514">
        <v>6584</v>
      </c>
      <c r="F63" s="514">
        <v>6478</v>
      </c>
      <c r="G63" s="515">
        <v>6795</v>
      </c>
      <c r="H63" s="515">
        <v>6795</v>
      </c>
      <c r="I63" s="532"/>
    </row>
    <row r="64" spans="1:10" s="331" customFormat="1" ht="15" x14ac:dyDescent="0.2">
      <c r="A64" s="332" t="s">
        <v>802</v>
      </c>
      <c r="B64" s="332" t="s">
        <v>803</v>
      </c>
      <c r="C64" s="514">
        <v>5747</v>
      </c>
      <c r="D64" s="514">
        <v>6000</v>
      </c>
      <c r="E64" s="514">
        <v>6000</v>
      </c>
      <c r="F64" s="514">
        <v>5968</v>
      </c>
      <c r="G64" s="515">
        <v>6000</v>
      </c>
      <c r="H64" s="515">
        <v>6170</v>
      </c>
      <c r="I64" s="532"/>
    </row>
    <row r="65" spans="1:10" s="331" customFormat="1" ht="15" x14ac:dyDescent="0.2">
      <c r="A65" s="332" t="s">
        <v>804</v>
      </c>
      <c r="B65" s="332" t="s">
        <v>783</v>
      </c>
      <c r="C65" s="514">
        <v>8546</v>
      </c>
      <c r="D65" s="514">
        <v>12000</v>
      </c>
      <c r="E65" s="514">
        <v>10000</v>
      </c>
      <c r="F65" s="514">
        <v>9030</v>
      </c>
      <c r="G65" s="515">
        <v>9500</v>
      </c>
      <c r="H65" s="515">
        <v>11000</v>
      </c>
      <c r="I65" s="532"/>
    </row>
    <row r="66" spans="1:10" s="331" customFormat="1" ht="15" x14ac:dyDescent="0.2">
      <c r="A66" s="332" t="s">
        <v>805</v>
      </c>
      <c r="B66" s="332" t="s">
        <v>806</v>
      </c>
      <c r="C66" s="514">
        <v>252</v>
      </c>
      <c r="D66" s="514">
        <v>750</v>
      </c>
      <c r="E66" s="514">
        <v>750</v>
      </c>
      <c r="F66" s="514">
        <v>573</v>
      </c>
      <c r="G66" s="515">
        <v>750</v>
      </c>
      <c r="H66" s="515">
        <v>750</v>
      </c>
      <c r="I66" s="532"/>
    </row>
    <row r="67" spans="1:10" s="331" customFormat="1" ht="15" x14ac:dyDescent="0.2">
      <c r="A67" s="332" t="s">
        <v>807</v>
      </c>
      <c r="B67" s="332" t="s">
        <v>787</v>
      </c>
      <c r="C67" s="514">
        <v>522</v>
      </c>
      <c r="D67" s="514">
        <v>500</v>
      </c>
      <c r="E67" s="514">
        <v>500</v>
      </c>
      <c r="F67" s="514">
        <v>0</v>
      </c>
      <c r="G67" s="515">
        <v>500</v>
      </c>
      <c r="H67" s="515">
        <v>500</v>
      </c>
      <c r="I67" s="532"/>
    </row>
    <row r="68" spans="1:10" s="331" customFormat="1" x14ac:dyDescent="0.25">
      <c r="A68" s="328" t="s">
        <v>808</v>
      </c>
      <c r="B68" s="328"/>
      <c r="C68" s="519">
        <f t="shared" ref="C68:H68" si="9">SUM(C60:C67)</f>
        <v>55288</v>
      </c>
      <c r="D68" s="519">
        <f t="shared" si="9"/>
        <v>59083</v>
      </c>
      <c r="E68" s="519">
        <f t="shared" si="9"/>
        <v>57083</v>
      </c>
      <c r="F68" s="519">
        <f t="shared" si="9"/>
        <v>55492</v>
      </c>
      <c r="G68" s="520">
        <f t="shared" si="9"/>
        <v>57437</v>
      </c>
      <c r="H68" s="520">
        <f t="shared" si="9"/>
        <v>59107</v>
      </c>
      <c r="I68" s="532"/>
    </row>
    <row r="69" spans="1:10" s="331" customFormat="1" x14ac:dyDescent="0.25">
      <c r="A69" s="328"/>
      <c r="B69" s="328"/>
      <c r="C69" s="514"/>
      <c r="D69" s="514"/>
      <c r="E69" s="514"/>
      <c r="F69" s="514"/>
      <c r="G69" s="516"/>
      <c r="H69" s="516"/>
      <c r="I69" s="532"/>
    </row>
    <row r="70" spans="1:10" x14ac:dyDescent="0.25">
      <c r="A70" s="332" t="s">
        <v>809</v>
      </c>
      <c r="B70" s="332" t="s">
        <v>810</v>
      </c>
      <c r="C70" s="514">
        <v>42636</v>
      </c>
      <c r="D70" s="514">
        <v>43088</v>
      </c>
      <c r="E70" s="514">
        <v>43088</v>
      </c>
      <c r="F70" s="514">
        <v>44657</v>
      </c>
      <c r="G70" s="522">
        <v>43720</v>
      </c>
      <c r="H70" s="522">
        <v>43720</v>
      </c>
      <c r="I70" s="528"/>
      <c r="J70" s="330"/>
    </row>
    <row r="71" spans="1:10" x14ac:dyDescent="0.25">
      <c r="A71" s="332" t="s">
        <v>2231</v>
      </c>
      <c r="B71" s="332" t="s">
        <v>67</v>
      </c>
      <c r="C71" s="514">
        <v>125</v>
      </c>
      <c r="D71" s="514">
        <v>129</v>
      </c>
      <c r="E71" s="514">
        <v>129</v>
      </c>
      <c r="F71" s="514">
        <v>128</v>
      </c>
      <c r="G71" s="515">
        <v>131</v>
      </c>
      <c r="H71" s="515">
        <v>131</v>
      </c>
      <c r="I71" s="528"/>
      <c r="J71" s="330"/>
    </row>
    <row r="72" spans="1:10" x14ac:dyDescent="0.25">
      <c r="A72" s="332" t="s">
        <v>811</v>
      </c>
      <c r="B72" s="332" t="s">
        <v>225</v>
      </c>
      <c r="C72" s="514">
        <v>639</v>
      </c>
      <c r="D72" s="514">
        <v>625</v>
      </c>
      <c r="E72" s="514">
        <v>625</v>
      </c>
      <c r="F72" s="514">
        <v>620</v>
      </c>
      <c r="G72" s="515">
        <v>634</v>
      </c>
      <c r="H72" s="515">
        <v>634</v>
      </c>
      <c r="I72" s="528"/>
      <c r="J72" s="330"/>
    </row>
    <row r="73" spans="1:10" x14ac:dyDescent="0.25">
      <c r="A73" s="332" t="s">
        <v>812</v>
      </c>
      <c r="B73" s="332" t="s">
        <v>581</v>
      </c>
      <c r="C73" s="514">
        <v>8304</v>
      </c>
      <c r="D73" s="514">
        <v>8682</v>
      </c>
      <c r="E73" s="514">
        <v>8682</v>
      </c>
      <c r="F73" s="514">
        <v>8550</v>
      </c>
      <c r="G73" s="515">
        <v>8919</v>
      </c>
      <c r="H73" s="515">
        <v>8919</v>
      </c>
      <c r="I73" s="528"/>
      <c r="J73" s="330"/>
    </row>
    <row r="74" spans="1:10" x14ac:dyDescent="0.25">
      <c r="A74" s="332" t="s">
        <v>813</v>
      </c>
      <c r="B74" s="332" t="s">
        <v>781</v>
      </c>
      <c r="C74" s="514">
        <v>5714</v>
      </c>
      <c r="D74" s="514">
        <v>6000</v>
      </c>
      <c r="E74" s="514">
        <v>6000</v>
      </c>
      <c r="F74" s="514">
        <v>6016</v>
      </c>
      <c r="G74" s="515">
        <v>6000</v>
      </c>
      <c r="H74" s="515">
        <v>6170</v>
      </c>
      <c r="I74" s="528"/>
      <c r="J74" s="330"/>
    </row>
    <row r="75" spans="1:10" x14ac:dyDescent="0.25">
      <c r="A75" s="332" t="s">
        <v>814</v>
      </c>
      <c r="B75" s="332" t="s">
        <v>783</v>
      </c>
      <c r="C75" s="514">
        <v>3687</v>
      </c>
      <c r="D75" s="514">
        <v>2700</v>
      </c>
      <c r="E75" s="514">
        <v>2700</v>
      </c>
      <c r="F75" s="514">
        <v>3213</v>
      </c>
      <c r="G75" s="515">
        <v>2700</v>
      </c>
      <c r="H75" s="515">
        <v>2700</v>
      </c>
      <c r="I75" s="528"/>
      <c r="J75" s="330"/>
    </row>
    <row r="76" spans="1:10" x14ac:dyDescent="0.25">
      <c r="A76" s="332" t="s">
        <v>815</v>
      </c>
      <c r="B76" s="332" t="s">
        <v>785</v>
      </c>
      <c r="C76" s="514">
        <v>530</v>
      </c>
      <c r="D76" s="514">
        <v>750</v>
      </c>
      <c r="E76" s="514">
        <v>750</v>
      </c>
      <c r="F76" s="514">
        <v>345</v>
      </c>
      <c r="G76" s="515">
        <v>750</v>
      </c>
      <c r="H76" s="515">
        <v>750</v>
      </c>
      <c r="I76" s="528"/>
      <c r="J76" s="330"/>
    </row>
    <row r="77" spans="1:10" x14ac:dyDescent="0.25">
      <c r="A77" s="332" t="s">
        <v>816</v>
      </c>
      <c r="B77" s="332" t="s">
        <v>787</v>
      </c>
      <c r="C77" s="514">
        <v>404</v>
      </c>
      <c r="D77" s="514">
        <v>250</v>
      </c>
      <c r="E77" s="514">
        <v>250</v>
      </c>
      <c r="F77" s="514">
        <v>222</v>
      </c>
      <c r="G77" s="515">
        <v>250</v>
      </c>
      <c r="H77" s="515">
        <v>250</v>
      </c>
      <c r="I77" s="528"/>
      <c r="J77" s="330"/>
    </row>
    <row r="78" spans="1:10" s="331" customFormat="1" x14ac:dyDescent="0.25">
      <c r="A78" s="328" t="s">
        <v>817</v>
      </c>
      <c r="B78" s="328"/>
      <c r="C78" s="519">
        <f t="shared" ref="C78:H78" si="10">SUM(C70:C77)</f>
        <v>62039</v>
      </c>
      <c r="D78" s="519">
        <f t="shared" si="10"/>
        <v>62224</v>
      </c>
      <c r="E78" s="519">
        <f t="shared" si="10"/>
        <v>62224</v>
      </c>
      <c r="F78" s="519">
        <f t="shared" si="10"/>
        <v>63751</v>
      </c>
      <c r="G78" s="520">
        <f t="shared" si="10"/>
        <v>63104</v>
      </c>
      <c r="H78" s="520">
        <f t="shared" si="10"/>
        <v>63274</v>
      </c>
      <c r="I78" s="532"/>
    </row>
    <row r="79" spans="1:10" s="331" customFormat="1" x14ac:dyDescent="0.25">
      <c r="A79" s="328"/>
      <c r="B79" s="328"/>
      <c r="C79" s="519"/>
      <c r="D79" s="519"/>
      <c r="E79" s="519"/>
      <c r="F79" s="519"/>
      <c r="G79" s="521"/>
      <c r="H79" s="521"/>
      <c r="I79" s="532"/>
    </row>
    <row r="80" spans="1:10" s="528" customFormat="1" x14ac:dyDescent="0.25">
      <c r="A80" s="567" t="s">
        <v>934</v>
      </c>
      <c r="B80" s="567" t="s">
        <v>935</v>
      </c>
      <c r="C80" s="514">
        <v>1400</v>
      </c>
      <c r="D80" s="514">
        <v>0</v>
      </c>
      <c r="E80" s="514">
        <v>0</v>
      </c>
      <c r="F80" s="514">
        <v>1400</v>
      </c>
      <c r="G80" s="514">
        <v>0</v>
      </c>
      <c r="H80" s="514">
        <v>0</v>
      </c>
    </row>
    <row r="81" spans="1:10" s="528" customFormat="1" x14ac:dyDescent="0.25">
      <c r="A81" s="567" t="s">
        <v>2682</v>
      </c>
      <c r="B81" s="567" t="s">
        <v>940</v>
      </c>
      <c r="C81" s="514">
        <v>4</v>
      </c>
      <c r="D81" s="514">
        <v>0</v>
      </c>
      <c r="E81" s="514">
        <v>0</v>
      </c>
      <c r="F81" s="514">
        <v>4</v>
      </c>
      <c r="G81" s="514">
        <v>0</v>
      </c>
      <c r="H81" s="514">
        <v>0</v>
      </c>
    </row>
    <row r="82" spans="1:10" s="528" customFormat="1" x14ac:dyDescent="0.25">
      <c r="A82" s="567" t="s">
        <v>936</v>
      </c>
      <c r="B82" s="567" t="s">
        <v>937</v>
      </c>
      <c r="C82" s="514">
        <v>20</v>
      </c>
      <c r="D82" s="514">
        <v>0</v>
      </c>
      <c r="E82" s="514">
        <v>0</v>
      </c>
      <c r="F82" s="514">
        <v>20</v>
      </c>
      <c r="G82" s="514">
        <v>0</v>
      </c>
      <c r="H82" s="514">
        <v>0</v>
      </c>
    </row>
    <row r="83" spans="1:10" s="528" customFormat="1" x14ac:dyDescent="0.25">
      <c r="A83" s="567" t="s">
        <v>938</v>
      </c>
      <c r="B83" s="567" t="s">
        <v>939</v>
      </c>
      <c r="C83" s="514">
        <v>281</v>
      </c>
      <c r="D83" s="514">
        <v>0</v>
      </c>
      <c r="E83" s="514">
        <v>0</v>
      </c>
      <c r="F83" s="514">
        <v>281</v>
      </c>
      <c r="G83" s="514">
        <v>0</v>
      </c>
      <c r="H83" s="514">
        <v>0</v>
      </c>
    </row>
    <row r="84" spans="1:10" s="528" customFormat="1" x14ac:dyDescent="0.25">
      <c r="A84" s="567" t="s">
        <v>2269</v>
      </c>
      <c r="B84" s="567" t="s">
        <v>941</v>
      </c>
      <c r="C84" s="514">
        <v>2824</v>
      </c>
      <c r="D84" s="514">
        <v>4500</v>
      </c>
      <c r="E84" s="514">
        <v>8842</v>
      </c>
      <c r="F84" s="514">
        <v>8842</v>
      </c>
      <c r="G84" s="514">
        <v>7513</v>
      </c>
      <c r="H84" s="514">
        <v>4474</v>
      </c>
    </row>
    <row r="85" spans="1:10" x14ac:dyDescent="0.25">
      <c r="A85" s="328" t="s">
        <v>771</v>
      </c>
      <c r="B85" s="328"/>
      <c r="C85" s="519">
        <f t="shared" ref="C85:H85" si="11">SUM(C80:C84)</f>
        <v>4529</v>
      </c>
      <c r="D85" s="519">
        <f t="shared" si="11"/>
        <v>4500</v>
      </c>
      <c r="E85" s="519">
        <f t="shared" si="11"/>
        <v>8842</v>
      </c>
      <c r="F85" s="519">
        <f t="shared" si="11"/>
        <v>10547</v>
      </c>
      <c r="G85" s="519">
        <f t="shared" si="11"/>
        <v>7513</v>
      </c>
      <c r="H85" s="519">
        <f t="shared" si="11"/>
        <v>4474</v>
      </c>
      <c r="I85" s="528"/>
      <c r="J85" s="330"/>
    </row>
    <row r="86" spans="1:10" x14ac:dyDescent="0.25">
      <c r="A86" s="328"/>
      <c r="B86" s="328"/>
      <c r="C86" s="514"/>
      <c r="D86" s="514"/>
      <c r="E86" s="514"/>
      <c r="F86" s="514"/>
      <c r="G86" s="516"/>
      <c r="H86" s="516"/>
      <c r="I86" s="528"/>
      <c r="J86" s="330"/>
    </row>
    <row r="87" spans="1:10" x14ac:dyDescent="0.25">
      <c r="A87" s="332" t="s">
        <v>818</v>
      </c>
      <c r="B87" s="332" t="s">
        <v>819</v>
      </c>
      <c r="C87" s="514">
        <v>42420</v>
      </c>
      <c r="D87" s="514">
        <v>42157</v>
      </c>
      <c r="E87" s="514">
        <v>33309</v>
      </c>
      <c r="F87" s="514">
        <v>31822</v>
      </c>
      <c r="G87" s="522">
        <v>35205</v>
      </c>
      <c r="H87" s="522">
        <v>49109</v>
      </c>
      <c r="I87" s="528"/>
      <c r="J87" s="330"/>
    </row>
    <row r="88" spans="1:10" x14ac:dyDescent="0.25">
      <c r="A88" s="332" t="s">
        <v>2232</v>
      </c>
      <c r="B88" s="332" t="s">
        <v>67</v>
      </c>
      <c r="C88" s="514">
        <v>129</v>
      </c>
      <c r="D88" s="514">
        <v>126</v>
      </c>
      <c r="E88" s="514">
        <v>100</v>
      </c>
      <c r="F88" s="514">
        <v>108</v>
      </c>
      <c r="G88" s="515">
        <v>106</v>
      </c>
      <c r="H88" s="515">
        <v>147</v>
      </c>
      <c r="I88" s="528"/>
      <c r="J88" s="330"/>
    </row>
    <row r="89" spans="1:10" x14ac:dyDescent="0.25">
      <c r="A89" s="332" t="s">
        <v>820</v>
      </c>
      <c r="B89" s="332" t="s">
        <v>225</v>
      </c>
      <c r="C89" s="514">
        <v>624</v>
      </c>
      <c r="D89" s="514">
        <v>611</v>
      </c>
      <c r="E89" s="514">
        <v>483</v>
      </c>
      <c r="F89" s="514">
        <v>521</v>
      </c>
      <c r="G89" s="515">
        <v>510</v>
      </c>
      <c r="H89" s="515">
        <v>712</v>
      </c>
      <c r="I89" s="528"/>
      <c r="J89" s="330"/>
    </row>
    <row r="90" spans="1:10" x14ac:dyDescent="0.25">
      <c r="A90" s="332" t="s">
        <v>821</v>
      </c>
      <c r="B90" s="332" t="s">
        <v>581</v>
      </c>
      <c r="C90" s="514">
        <v>8569</v>
      </c>
      <c r="D90" s="514">
        <v>8495</v>
      </c>
      <c r="E90" s="514">
        <v>6712</v>
      </c>
      <c r="F90" s="514">
        <v>7228</v>
      </c>
      <c r="G90" s="515">
        <v>7182</v>
      </c>
      <c r="H90" s="515">
        <v>10018</v>
      </c>
      <c r="I90" s="528"/>
      <c r="J90" s="330"/>
    </row>
    <row r="91" spans="1:10" x14ac:dyDescent="0.25">
      <c r="A91" s="332" t="s">
        <v>2233</v>
      </c>
      <c r="B91" s="332" t="s">
        <v>803</v>
      </c>
      <c r="C91" s="514">
        <v>5747</v>
      </c>
      <c r="D91" s="514">
        <v>6000</v>
      </c>
      <c r="E91" s="514">
        <v>6000</v>
      </c>
      <c r="F91" s="514">
        <v>3603</v>
      </c>
      <c r="G91" s="515">
        <v>6000</v>
      </c>
      <c r="H91" s="515">
        <v>6170</v>
      </c>
      <c r="I91" s="528"/>
      <c r="J91" s="330"/>
    </row>
    <row r="92" spans="1:10" x14ac:dyDescent="0.25">
      <c r="A92" s="332" t="s">
        <v>822</v>
      </c>
      <c r="B92" s="332" t="s">
        <v>783</v>
      </c>
      <c r="C92" s="514">
        <v>0</v>
      </c>
      <c r="D92" s="514">
        <v>0</v>
      </c>
      <c r="E92" s="514">
        <v>0</v>
      </c>
      <c r="F92" s="514">
        <v>952</v>
      </c>
      <c r="G92" s="515">
        <v>0</v>
      </c>
      <c r="H92" s="515">
        <v>0</v>
      </c>
      <c r="I92" s="528"/>
      <c r="J92" s="330"/>
    </row>
    <row r="93" spans="1:10" x14ac:dyDescent="0.25">
      <c r="A93" s="332" t="s">
        <v>823</v>
      </c>
      <c r="B93" s="332" t="s">
        <v>824</v>
      </c>
      <c r="C93" s="514">
        <v>0</v>
      </c>
      <c r="D93" s="514">
        <v>0</v>
      </c>
      <c r="E93" s="514">
        <v>0</v>
      </c>
      <c r="F93" s="514">
        <v>540</v>
      </c>
      <c r="G93" s="515">
        <v>0</v>
      </c>
      <c r="H93" s="515">
        <v>0</v>
      </c>
      <c r="I93" s="528"/>
      <c r="J93" s="330"/>
    </row>
    <row r="94" spans="1:10" x14ac:dyDescent="0.25">
      <c r="A94" s="332" t="s">
        <v>825</v>
      </c>
      <c r="B94" s="332" t="s">
        <v>787</v>
      </c>
      <c r="C94" s="514">
        <v>0</v>
      </c>
      <c r="D94" s="514">
        <v>0</v>
      </c>
      <c r="E94" s="514">
        <v>0</v>
      </c>
      <c r="F94" s="514">
        <v>0</v>
      </c>
      <c r="G94" s="515">
        <v>0</v>
      </c>
      <c r="H94" s="515">
        <v>0</v>
      </c>
      <c r="I94" s="528"/>
      <c r="J94" s="330"/>
    </row>
    <row r="95" spans="1:10" s="331" customFormat="1" x14ac:dyDescent="0.25">
      <c r="A95" s="328" t="s">
        <v>826</v>
      </c>
      <c r="B95" s="328"/>
      <c r="C95" s="519">
        <f t="shared" ref="C95:H95" si="12">SUM(C87:C94)</f>
        <v>57489</v>
      </c>
      <c r="D95" s="519">
        <f t="shared" si="12"/>
        <v>57389</v>
      </c>
      <c r="E95" s="519">
        <f t="shared" si="12"/>
        <v>46604</v>
      </c>
      <c r="F95" s="519">
        <f t="shared" si="12"/>
        <v>44774</v>
      </c>
      <c r="G95" s="520">
        <f t="shared" si="12"/>
        <v>49003</v>
      </c>
      <c r="H95" s="520">
        <f t="shared" si="12"/>
        <v>66156</v>
      </c>
      <c r="I95" s="532"/>
    </row>
    <row r="96" spans="1:10" s="331" customFormat="1" x14ac:dyDescent="0.25">
      <c r="A96" s="328"/>
      <c r="B96" s="328"/>
      <c r="C96" s="514"/>
      <c r="D96" s="514"/>
      <c r="E96" s="514"/>
      <c r="F96" s="514"/>
      <c r="G96" s="516"/>
      <c r="H96" s="516"/>
      <c r="I96" s="532"/>
    </row>
    <row r="97" spans="1:10" x14ac:dyDescent="0.25">
      <c r="A97" s="332" t="s">
        <v>827</v>
      </c>
      <c r="B97" s="332" t="s">
        <v>828</v>
      </c>
      <c r="C97" s="514">
        <v>37035</v>
      </c>
      <c r="D97" s="514">
        <v>36469</v>
      </c>
      <c r="E97" s="514">
        <v>36469</v>
      </c>
      <c r="F97" s="514">
        <v>36719</v>
      </c>
      <c r="G97" s="522">
        <v>37101</v>
      </c>
      <c r="H97" s="522">
        <v>37101</v>
      </c>
      <c r="I97" s="528"/>
      <c r="J97" s="330"/>
    </row>
    <row r="98" spans="1:10" x14ac:dyDescent="0.25">
      <c r="A98" s="332" t="s">
        <v>2234</v>
      </c>
      <c r="B98" s="332" t="s">
        <v>67</v>
      </c>
      <c r="C98" s="514">
        <v>113</v>
      </c>
      <c r="D98" s="514">
        <v>109</v>
      </c>
      <c r="E98" s="514">
        <v>109</v>
      </c>
      <c r="F98" s="514">
        <v>109</v>
      </c>
      <c r="G98" s="515">
        <v>111</v>
      </c>
      <c r="H98" s="515">
        <v>111</v>
      </c>
      <c r="I98" s="528"/>
      <c r="J98" s="330"/>
    </row>
    <row r="99" spans="1:10" x14ac:dyDescent="0.25">
      <c r="A99" s="332" t="s">
        <v>829</v>
      </c>
      <c r="B99" s="332" t="s">
        <v>1227</v>
      </c>
      <c r="C99" s="514">
        <v>544</v>
      </c>
      <c r="D99" s="514">
        <v>529</v>
      </c>
      <c r="E99" s="514">
        <v>529</v>
      </c>
      <c r="F99" s="514">
        <v>524</v>
      </c>
      <c r="G99" s="515">
        <v>538</v>
      </c>
      <c r="H99" s="515">
        <v>538</v>
      </c>
      <c r="I99" s="528"/>
      <c r="J99" s="330"/>
    </row>
    <row r="100" spans="1:10" x14ac:dyDescent="0.25">
      <c r="A100" s="332" t="s">
        <v>830</v>
      </c>
      <c r="B100" s="332" t="s">
        <v>581</v>
      </c>
      <c r="C100" s="514">
        <v>7470</v>
      </c>
      <c r="D100" s="514">
        <v>7349</v>
      </c>
      <c r="E100" s="514">
        <v>7349</v>
      </c>
      <c r="F100" s="514">
        <v>7288</v>
      </c>
      <c r="G100" s="515">
        <v>7569</v>
      </c>
      <c r="H100" s="515">
        <v>7569</v>
      </c>
      <c r="I100" s="528"/>
      <c r="J100" s="330"/>
    </row>
    <row r="101" spans="1:10" x14ac:dyDescent="0.25">
      <c r="A101" s="332" t="s">
        <v>831</v>
      </c>
      <c r="B101" s="332" t="s">
        <v>803</v>
      </c>
      <c r="C101" s="514">
        <v>5747</v>
      </c>
      <c r="D101" s="514">
        <v>6000</v>
      </c>
      <c r="E101" s="514">
        <v>6000</v>
      </c>
      <c r="F101" s="514">
        <v>5844</v>
      </c>
      <c r="G101" s="515">
        <v>6000</v>
      </c>
      <c r="H101" s="515">
        <v>6170</v>
      </c>
      <c r="I101" s="528"/>
      <c r="J101" s="330"/>
    </row>
    <row r="102" spans="1:10" x14ac:dyDescent="0.25">
      <c r="A102" s="332" t="s">
        <v>1399</v>
      </c>
      <c r="B102" s="332" t="s">
        <v>1400</v>
      </c>
      <c r="C102" s="514">
        <v>0</v>
      </c>
      <c r="D102" s="514">
        <v>0</v>
      </c>
      <c r="E102" s="514">
        <v>5600</v>
      </c>
      <c r="F102" s="514">
        <v>7443</v>
      </c>
      <c r="G102" s="514">
        <v>6000</v>
      </c>
      <c r="H102" s="514">
        <v>6000</v>
      </c>
      <c r="I102" s="528"/>
      <c r="J102" s="330"/>
    </row>
    <row r="103" spans="1:10" x14ac:dyDescent="0.25">
      <c r="A103" s="332" t="s">
        <v>832</v>
      </c>
      <c r="B103" s="332" t="s">
        <v>783</v>
      </c>
      <c r="C103" s="514">
        <v>11421</v>
      </c>
      <c r="D103" s="514">
        <v>25000</v>
      </c>
      <c r="E103" s="514">
        <v>28000</v>
      </c>
      <c r="F103" s="514">
        <v>35254</v>
      </c>
      <c r="G103" s="515">
        <v>20000</v>
      </c>
      <c r="H103" s="515">
        <v>27000</v>
      </c>
      <c r="I103" s="528"/>
      <c r="J103" s="330"/>
    </row>
    <row r="104" spans="1:10" x14ac:dyDescent="0.25">
      <c r="A104" s="332" t="s">
        <v>833</v>
      </c>
      <c r="B104" s="332" t="s">
        <v>834</v>
      </c>
      <c r="C104" s="514">
        <v>732</v>
      </c>
      <c r="D104" s="514">
        <v>750</v>
      </c>
      <c r="E104" s="514">
        <v>750</v>
      </c>
      <c r="F104" s="514">
        <v>4513</v>
      </c>
      <c r="G104" s="515">
        <v>750</v>
      </c>
      <c r="H104" s="515">
        <v>750</v>
      </c>
      <c r="I104" s="528"/>
      <c r="J104" s="330"/>
    </row>
    <row r="105" spans="1:10" x14ac:dyDescent="0.25">
      <c r="A105" s="332" t="s">
        <v>835</v>
      </c>
      <c r="B105" s="332" t="s">
        <v>787</v>
      </c>
      <c r="C105" s="514">
        <v>643</v>
      </c>
      <c r="D105" s="514">
        <v>500</v>
      </c>
      <c r="E105" s="514">
        <v>500</v>
      </c>
      <c r="F105" s="514">
        <v>33</v>
      </c>
      <c r="G105" s="515">
        <v>500</v>
      </c>
      <c r="H105" s="515">
        <v>500</v>
      </c>
      <c r="I105" s="528"/>
      <c r="J105" s="330"/>
    </row>
    <row r="106" spans="1:10" s="331" customFormat="1" x14ac:dyDescent="0.25">
      <c r="A106" s="328" t="s">
        <v>836</v>
      </c>
      <c r="B106" s="328"/>
      <c r="C106" s="519">
        <f t="shared" ref="C106:H106" si="13">SUM(C97:C105)</f>
        <v>63705</v>
      </c>
      <c r="D106" s="519">
        <f t="shared" si="13"/>
        <v>76706</v>
      </c>
      <c r="E106" s="519">
        <f t="shared" si="13"/>
        <v>85306</v>
      </c>
      <c r="F106" s="519">
        <f t="shared" si="13"/>
        <v>97727</v>
      </c>
      <c r="G106" s="519">
        <f t="shared" si="13"/>
        <v>78569</v>
      </c>
      <c r="H106" s="519">
        <f t="shared" si="13"/>
        <v>85739</v>
      </c>
      <c r="I106" s="532"/>
    </row>
    <row r="107" spans="1:10" s="331" customFormat="1" x14ac:dyDescent="0.25">
      <c r="A107" s="328"/>
      <c r="B107" s="328"/>
      <c r="C107" s="514"/>
      <c r="D107" s="514"/>
      <c r="E107" s="514"/>
      <c r="F107" s="514"/>
      <c r="G107" s="516"/>
      <c r="H107" s="516"/>
      <c r="I107" s="532"/>
    </row>
    <row r="108" spans="1:10" x14ac:dyDescent="0.25">
      <c r="A108" s="332" t="s">
        <v>837</v>
      </c>
      <c r="B108" s="332" t="s">
        <v>838</v>
      </c>
      <c r="C108" s="514">
        <v>22784</v>
      </c>
      <c r="D108" s="514">
        <v>0</v>
      </c>
      <c r="E108" s="514">
        <v>22000</v>
      </c>
      <c r="F108" s="514">
        <v>22499</v>
      </c>
      <c r="G108" s="514">
        <v>0</v>
      </c>
      <c r="H108" s="514">
        <v>22500</v>
      </c>
      <c r="I108" s="528"/>
      <c r="J108" s="330"/>
    </row>
    <row r="109" spans="1:10" x14ac:dyDescent="0.25">
      <c r="A109" s="332" t="s">
        <v>2236</v>
      </c>
      <c r="B109" s="332" t="s">
        <v>844</v>
      </c>
      <c r="C109" s="514">
        <v>82</v>
      </c>
      <c r="D109" s="514">
        <v>0</v>
      </c>
      <c r="E109" s="523">
        <v>66</v>
      </c>
      <c r="F109" s="514">
        <v>68</v>
      </c>
      <c r="G109" s="515">
        <v>0</v>
      </c>
      <c r="H109" s="515">
        <v>68</v>
      </c>
      <c r="I109" s="528"/>
      <c r="J109" s="330"/>
    </row>
    <row r="110" spans="1:10" x14ac:dyDescent="0.25">
      <c r="A110" s="332" t="s">
        <v>839</v>
      </c>
      <c r="B110" s="332" t="s">
        <v>840</v>
      </c>
      <c r="C110" s="514">
        <v>394</v>
      </c>
      <c r="D110" s="514">
        <v>0</v>
      </c>
      <c r="E110" s="523">
        <v>319</v>
      </c>
      <c r="F110" s="514">
        <v>331</v>
      </c>
      <c r="G110" s="515">
        <v>0</v>
      </c>
      <c r="H110" s="515">
        <v>326</v>
      </c>
      <c r="I110" s="528"/>
      <c r="J110" s="330"/>
    </row>
    <row r="111" spans="1:10" x14ac:dyDescent="0.25">
      <c r="A111" s="332" t="s">
        <v>841</v>
      </c>
      <c r="B111" s="332" t="s">
        <v>842</v>
      </c>
      <c r="C111" s="514">
        <v>9788</v>
      </c>
      <c r="D111" s="514">
        <v>0</v>
      </c>
      <c r="E111" s="523">
        <v>4400</v>
      </c>
      <c r="F111" s="514">
        <v>4456</v>
      </c>
      <c r="G111" s="515">
        <v>0</v>
      </c>
      <c r="H111" s="515">
        <v>4590</v>
      </c>
      <c r="I111" s="528"/>
      <c r="J111" s="330"/>
    </row>
    <row r="112" spans="1:10" x14ac:dyDescent="0.25">
      <c r="A112" s="332" t="s">
        <v>2237</v>
      </c>
      <c r="B112" s="332" t="s">
        <v>843</v>
      </c>
      <c r="C112" s="514">
        <v>0</v>
      </c>
      <c r="D112" s="514">
        <v>0</v>
      </c>
      <c r="E112" s="514">
        <v>0</v>
      </c>
      <c r="F112" s="514">
        <v>201</v>
      </c>
      <c r="G112" s="515">
        <v>0</v>
      </c>
      <c r="H112" s="515">
        <v>0</v>
      </c>
      <c r="I112" s="528"/>
      <c r="J112" s="330"/>
    </row>
    <row r="113" spans="1:10" x14ac:dyDescent="0.25">
      <c r="A113" s="332" t="s">
        <v>845</v>
      </c>
      <c r="B113" s="332" t="s">
        <v>846</v>
      </c>
      <c r="C113" s="514">
        <v>4905</v>
      </c>
      <c r="D113" s="514">
        <v>5000</v>
      </c>
      <c r="E113" s="514">
        <v>6000</v>
      </c>
      <c r="F113" s="514">
        <v>6748</v>
      </c>
      <c r="G113" s="515">
        <v>7200</v>
      </c>
      <c r="H113" s="515">
        <v>7200</v>
      </c>
      <c r="I113" s="528"/>
      <c r="J113" s="330"/>
    </row>
    <row r="114" spans="1:10" x14ac:dyDescent="0.25">
      <c r="A114" s="332" t="s">
        <v>2238</v>
      </c>
      <c r="B114" s="332" t="s">
        <v>849</v>
      </c>
      <c r="C114" s="514">
        <v>15</v>
      </c>
      <c r="D114" s="514">
        <v>15</v>
      </c>
      <c r="E114" s="514">
        <v>18</v>
      </c>
      <c r="F114" s="514">
        <v>20</v>
      </c>
      <c r="G114" s="515">
        <v>22</v>
      </c>
      <c r="H114" s="515">
        <v>22</v>
      </c>
      <c r="I114" s="528"/>
      <c r="J114" s="330"/>
    </row>
    <row r="115" spans="1:10" x14ac:dyDescent="0.25">
      <c r="A115" s="332" t="s">
        <v>1401</v>
      </c>
      <c r="B115" s="332" t="s">
        <v>847</v>
      </c>
      <c r="C115" s="514">
        <v>71</v>
      </c>
      <c r="D115" s="514">
        <v>73</v>
      </c>
      <c r="E115" s="514">
        <v>87</v>
      </c>
      <c r="F115" s="514">
        <v>98</v>
      </c>
      <c r="G115" s="515">
        <v>104</v>
      </c>
      <c r="H115" s="515">
        <v>104</v>
      </c>
      <c r="I115" s="528"/>
      <c r="J115" s="330"/>
    </row>
    <row r="116" spans="1:10" x14ac:dyDescent="0.25">
      <c r="A116" s="332" t="s">
        <v>1402</v>
      </c>
      <c r="B116" s="332" t="s">
        <v>848</v>
      </c>
      <c r="C116" s="514">
        <v>973</v>
      </c>
      <c r="D116" s="514">
        <v>1008</v>
      </c>
      <c r="E116" s="514">
        <v>1209</v>
      </c>
      <c r="F116" s="514">
        <v>1319</v>
      </c>
      <c r="G116" s="515">
        <v>1469</v>
      </c>
      <c r="H116" s="515">
        <v>1469</v>
      </c>
      <c r="I116" s="528"/>
      <c r="J116" s="330"/>
    </row>
    <row r="117" spans="1:10" s="528" customFormat="1" x14ac:dyDescent="0.25">
      <c r="A117" s="567" t="s">
        <v>1510</v>
      </c>
      <c r="B117" s="567" t="s">
        <v>2483</v>
      </c>
      <c r="C117" s="514">
        <v>0</v>
      </c>
      <c r="D117" s="514">
        <v>0</v>
      </c>
      <c r="E117" s="514">
        <v>0</v>
      </c>
      <c r="F117" s="514">
        <v>0</v>
      </c>
      <c r="G117" s="514">
        <v>0</v>
      </c>
      <c r="H117" s="514">
        <v>2249</v>
      </c>
    </row>
    <row r="118" spans="1:10" x14ac:dyDescent="0.25">
      <c r="A118" s="332" t="s">
        <v>1510</v>
      </c>
      <c r="B118" s="332" t="s">
        <v>1511</v>
      </c>
      <c r="C118" s="514">
        <v>0</v>
      </c>
      <c r="D118" s="514">
        <v>0</v>
      </c>
      <c r="E118" s="514">
        <v>0</v>
      </c>
      <c r="F118" s="514">
        <v>0</v>
      </c>
      <c r="G118" s="514">
        <v>14312</v>
      </c>
      <c r="H118" s="514">
        <v>22500</v>
      </c>
      <c r="I118" s="528"/>
      <c r="J118" s="330"/>
    </row>
    <row r="119" spans="1:10" x14ac:dyDescent="0.25">
      <c r="A119" s="332" t="s">
        <v>850</v>
      </c>
      <c r="B119" s="332" t="s">
        <v>1509</v>
      </c>
      <c r="C119" s="514">
        <v>20312</v>
      </c>
      <c r="D119" s="514">
        <v>21000</v>
      </c>
      <c r="E119" s="514">
        <v>18500</v>
      </c>
      <c r="F119" s="514">
        <v>18230</v>
      </c>
      <c r="G119" s="515">
        <v>9688</v>
      </c>
      <c r="H119" s="515">
        <v>7000</v>
      </c>
      <c r="I119" s="551"/>
      <c r="J119" s="330"/>
    </row>
    <row r="120" spans="1:10" x14ac:dyDescent="0.25">
      <c r="A120" s="332" t="s">
        <v>851</v>
      </c>
      <c r="B120" s="332" t="s">
        <v>852</v>
      </c>
      <c r="C120" s="514">
        <v>8736</v>
      </c>
      <c r="D120" s="514">
        <v>8500</v>
      </c>
      <c r="E120" s="514">
        <v>8800</v>
      </c>
      <c r="F120" s="514">
        <v>10990</v>
      </c>
      <c r="G120" s="514">
        <v>11800</v>
      </c>
      <c r="H120" s="514">
        <v>11000</v>
      </c>
      <c r="I120" s="528"/>
      <c r="J120" s="330"/>
    </row>
    <row r="121" spans="1:10" x14ac:dyDescent="0.25">
      <c r="A121" s="332" t="s">
        <v>853</v>
      </c>
      <c r="B121" s="332" t="s">
        <v>854</v>
      </c>
      <c r="C121" s="514">
        <v>0</v>
      </c>
      <c r="D121" s="514">
        <v>500</v>
      </c>
      <c r="E121" s="514">
        <v>0</v>
      </c>
      <c r="F121" s="514">
        <v>0</v>
      </c>
      <c r="G121" s="515">
        <v>0</v>
      </c>
      <c r="H121" s="515">
        <v>0</v>
      </c>
      <c r="I121" s="528"/>
      <c r="J121" s="330"/>
    </row>
    <row r="122" spans="1:10" x14ac:dyDescent="0.25">
      <c r="A122" s="332" t="s">
        <v>855</v>
      </c>
      <c r="B122" s="332" t="s">
        <v>856</v>
      </c>
      <c r="C122" s="514">
        <v>0</v>
      </c>
      <c r="D122" s="514">
        <v>0</v>
      </c>
      <c r="E122" s="514">
        <v>0</v>
      </c>
      <c r="F122" s="514">
        <v>0</v>
      </c>
      <c r="G122" s="515">
        <v>0</v>
      </c>
      <c r="H122" s="515">
        <v>0</v>
      </c>
      <c r="I122" s="528"/>
      <c r="J122" s="330"/>
    </row>
    <row r="123" spans="1:10" x14ac:dyDescent="0.25">
      <c r="A123" s="332" t="s">
        <v>857</v>
      </c>
      <c r="B123" s="332" t="s">
        <v>858</v>
      </c>
      <c r="C123" s="514">
        <v>2711</v>
      </c>
      <c r="D123" s="514">
        <v>3000</v>
      </c>
      <c r="E123" s="514">
        <v>3000</v>
      </c>
      <c r="F123" s="514">
        <v>2589</v>
      </c>
      <c r="G123" s="515">
        <v>3000</v>
      </c>
      <c r="H123" s="515">
        <v>3000</v>
      </c>
      <c r="I123" s="528"/>
      <c r="J123" s="330"/>
    </row>
    <row r="124" spans="1:10" x14ac:dyDescent="0.25">
      <c r="A124" s="332" t="s">
        <v>859</v>
      </c>
      <c r="B124" s="332" t="s">
        <v>860</v>
      </c>
      <c r="C124" s="514">
        <v>2188</v>
      </c>
      <c r="D124" s="514">
        <v>3000</v>
      </c>
      <c r="E124" s="514">
        <v>3000</v>
      </c>
      <c r="F124" s="514">
        <v>2724</v>
      </c>
      <c r="G124" s="515">
        <v>3000</v>
      </c>
      <c r="H124" s="515">
        <v>3000</v>
      </c>
      <c r="I124" s="528"/>
      <c r="J124" s="330"/>
    </row>
    <row r="125" spans="1:10" x14ac:dyDescent="0.25">
      <c r="A125" s="332" t="s">
        <v>861</v>
      </c>
      <c r="B125" s="332" t="s">
        <v>862</v>
      </c>
      <c r="C125" s="514">
        <v>8246</v>
      </c>
      <c r="D125" s="514">
        <v>0</v>
      </c>
      <c r="E125" s="514">
        <v>754</v>
      </c>
      <c r="F125" s="514">
        <v>1598</v>
      </c>
      <c r="G125" s="515">
        <v>0</v>
      </c>
      <c r="H125" s="515">
        <v>9157</v>
      </c>
      <c r="I125" s="528"/>
      <c r="J125" s="330"/>
    </row>
    <row r="126" spans="1:10" x14ac:dyDescent="0.25">
      <c r="A126" s="332" t="s">
        <v>863</v>
      </c>
      <c r="B126" s="332" t="s">
        <v>864</v>
      </c>
      <c r="C126" s="514">
        <v>11774</v>
      </c>
      <c r="D126" s="514">
        <v>7000</v>
      </c>
      <c r="E126" s="514">
        <v>11000</v>
      </c>
      <c r="F126" s="514">
        <v>13716</v>
      </c>
      <c r="G126" s="515">
        <v>11000</v>
      </c>
      <c r="H126" s="515">
        <v>7400</v>
      </c>
      <c r="I126" s="528"/>
      <c r="J126" s="330"/>
    </row>
    <row r="127" spans="1:10" x14ac:dyDescent="0.25">
      <c r="A127" s="332" t="s">
        <v>865</v>
      </c>
      <c r="B127" s="332" t="s">
        <v>866</v>
      </c>
      <c r="C127" s="514">
        <v>1264</v>
      </c>
      <c r="D127" s="514">
        <v>1000</v>
      </c>
      <c r="E127" s="514">
        <v>1000</v>
      </c>
      <c r="F127" s="514">
        <v>1059</v>
      </c>
      <c r="G127" s="515">
        <v>1000</v>
      </c>
      <c r="H127" s="515">
        <v>5000</v>
      </c>
      <c r="I127" s="528"/>
      <c r="J127" s="330"/>
    </row>
    <row r="128" spans="1:10" x14ac:dyDescent="0.25">
      <c r="A128" s="332" t="s">
        <v>867</v>
      </c>
      <c r="B128" s="332" t="s">
        <v>868</v>
      </c>
      <c r="C128" s="514">
        <v>823</v>
      </c>
      <c r="D128" s="514">
        <v>500</v>
      </c>
      <c r="E128" s="514">
        <v>500</v>
      </c>
      <c r="F128" s="514">
        <v>90</v>
      </c>
      <c r="G128" s="515">
        <v>500</v>
      </c>
      <c r="H128" s="515">
        <v>1000</v>
      </c>
      <c r="I128" s="528"/>
      <c r="J128" s="330"/>
    </row>
    <row r="129" spans="1:11" x14ac:dyDescent="0.25">
      <c r="A129" s="332" t="s">
        <v>869</v>
      </c>
      <c r="B129" s="332" t="s">
        <v>870</v>
      </c>
      <c r="C129" s="514">
        <v>775</v>
      </c>
      <c r="D129" s="514">
        <v>2000</v>
      </c>
      <c r="E129" s="514">
        <v>2500</v>
      </c>
      <c r="F129" s="514">
        <v>2113</v>
      </c>
      <c r="G129" s="515">
        <v>1500</v>
      </c>
      <c r="H129" s="515">
        <v>2500</v>
      </c>
      <c r="I129" s="528"/>
      <c r="J129" s="330"/>
      <c r="K129" s="397"/>
    </row>
    <row r="130" spans="1:11" x14ac:dyDescent="0.25">
      <c r="A130" s="332" t="s">
        <v>871</v>
      </c>
      <c r="B130" s="332" t="s">
        <v>872</v>
      </c>
      <c r="C130" s="514">
        <v>484</v>
      </c>
      <c r="D130" s="514">
        <v>1000</v>
      </c>
      <c r="E130" s="514">
        <v>1000</v>
      </c>
      <c r="F130" s="514">
        <v>381</v>
      </c>
      <c r="G130" s="514">
        <v>1000</v>
      </c>
      <c r="H130" s="514">
        <v>500</v>
      </c>
      <c r="I130" s="528"/>
      <c r="J130" s="330"/>
    </row>
    <row r="131" spans="1:11" x14ac:dyDescent="0.25">
      <c r="A131" s="332" t="s">
        <v>873</v>
      </c>
      <c r="B131" s="332" t="s">
        <v>874</v>
      </c>
      <c r="C131" s="514">
        <v>10086</v>
      </c>
      <c r="D131" s="514">
        <v>10000</v>
      </c>
      <c r="E131" s="514">
        <v>0</v>
      </c>
      <c r="F131" s="514">
        <v>2311</v>
      </c>
      <c r="G131" s="514">
        <v>5000</v>
      </c>
      <c r="H131" s="514">
        <v>10000</v>
      </c>
      <c r="I131" s="528"/>
      <c r="J131" s="330"/>
    </row>
    <row r="132" spans="1:11" x14ac:dyDescent="0.25">
      <c r="A132" s="332" t="s">
        <v>2239</v>
      </c>
      <c r="B132" s="332" t="s">
        <v>1403</v>
      </c>
      <c r="C132" s="514">
        <v>0</v>
      </c>
      <c r="D132" s="514">
        <v>0</v>
      </c>
      <c r="E132" s="514">
        <v>560</v>
      </c>
      <c r="F132" s="514">
        <v>0</v>
      </c>
      <c r="G132" s="514">
        <v>560</v>
      </c>
      <c r="H132" s="514">
        <v>720</v>
      </c>
      <c r="I132" s="528"/>
      <c r="J132" s="330"/>
    </row>
    <row r="133" spans="1:11" x14ac:dyDescent="0.25">
      <c r="A133" s="328" t="s">
        <v>875</v>
      </c>
      <c r="B133" s="328"/>
      <c r="C133" s="519">
        <f t="shared" ref="C133:H133" si="14">SUM(C108:C132)</f>
        <v>106411</v>
      </c>
      <c r="D133" s="519">
        <f t="shared" si="14"/>
        <v>63596</v>
      </c>
      <c r="E133" s="519">
        <f t="shared" si="14"/>
        <v>84713</v>
      </c>
      <c r="F133" s="519">
        <f t="shared" si="14"/>
        <v>91541</v>
      </c>
      <c r="G133" s="519">
        <f t="shared" si="14"/>
        <v>71155</v>
      </c>
      <c r="H133" s="519">
        <f t="shared" si="14"/>
        <v>121305</v>
      </c>
      <c r="I133" s="528"/>
      <c r="J133" s="330"/>
    </row>
    <row r="134" spans="1:11" x14ac:dyDescent="0.25">
      <c r="A134" s="328"/>
      <c r="B134" s="328"/>
      <c r="C134" s="514"/>
      <c r="D134" s="514"/>
      <c r="E134" s="514"/>
      <c r="F134" s="514"/>
      <c r="G134" s="516"/>
      <c r="H134" s="516"/>
      <c r="I134" s="528"/>
      <c r="J134" s="330"/>
    </row>
    <row r="135" spans="1:11" x14ac:dyDescent="0.25">
      <c r="A135" s="332" t="s">
        <v>876</v>
      </c>
      <c r="B135" s="332" t="s">
        <v>877</v>
      </c>
      <c r="C135" s="514">
        <v>47525</v>
      </c>
      <c r="D135" s="514">
        <v>45317</v>
      </c>
      <c r="E135" s="514">
        <v>38997</v>
      </c>
      <c r="F135" s="514">
        <v>39197</v>
      </c>
      <c r="G135" s="522">
        <v>39629</v>
      </c>
      <c r="H135" s="522">
        <v>39629</v>
      </c>
      <c r="I135" s="528"/>
      <c r="J135" s="330"/>
    </row>
    <row r="136" spans="1:11" x14ac:dyDescent="0.25">
      <c r="A136" s="332" t="s">
        <v>2240</v>
      </c>
      <c r="B136" s="332" t="s">
        <v>883</v>
      </c>
      <c r="C136" s="514">
        <v>142</v>
      </c>
      <c r="D136" s="514">
        <v>136</v>
      </c>
      <c r="E136" s="514">
        <v>0</v>
      </c>
      <c r="F136" s="514">
        <v>106</v>
      </c>
      <c r="G136" s="514">
        <v>119</v>
      </c>
      <c r="H136" s="514">
        <v>119</v>
      </c>
      <c r="I136" s="528"/>
      <c r="J136" s="330"/>
    </row>
    <row r="137" spans="1:11" x14ac:dyDescent="0.25">
      <c r="A137" s="332" t="s">
        <v>878</v>
      </c>
      <c r="B137" s="332" t="s">
        <v>879</v>
      </c>
      <c r="C137" s="514">
        <v>687</v>
      </c>
      <c r="D137" s="514">
        <v>657</v>
      </c>
      <c r="E137" s="514">
        <v>0</v>
      </c>
      <c r="F137" s="514">
        <v>565</v>
      </c>
      <c r="G137" s="514">
        <v>575</v>
      </c>
      <c r="H137" s="514">
        <v>575</v>
      </c>
      <c r="I137" s="528"/>
      <c r="J137" s="330"/>
    </row>
    <row r="138" spans="1:11" x14ac:dyDescent="0.25">
      <c r="A138" s="332" t="s">
        <v>880</v>
      </c>
      <c r="B138" s="332" t="s">
        <v>881</v>
      </c>
      <c r="C138" s="514">
        <v>1209</v>
      </c>
      <c r="D138" s="514">
        <v>9131</v>
      </c>
      <c r="E138" s="514">
        <v>0</v>
      </c>
      <c r="F138" s="514">
        <v>0</v>
      </c>
      <c r="G138" s="514">
        <v>0</v>
      </c>
      <c r="H138" s="514">
        <v>0</v>
      </c>
      <c r="I138" s="528"/>
      <c r="J138" s="330"/>
    </row>
    <row r="139" spans="1:11" x14ac:dyDescent="0.25">
      <c r="A139" s="332" t="s">
        <v>2241</v>
      </c>
      <c r="B139" s="332" t="s">
        <v>882</v>
      </c>
      <c r="C139" s="514">
        <v>1069</v>
      </c>
      <c r="D139" s="514">
        <v>6000</v>
      </c>
      <c r="E139" s="514">
        <v>1000</v>
      </c>
      <c r="F139" s="514">
        <v>3304</v>
      </c>
      <c r="G139" s="522">
        <v>6000</v>
      </c>
      <c r="H139" s="522">
        <v>6520</v>
      </c>
      <c r="I139" s="528"/>
      <c r="J139" s="330"/>
    </row>
    <row r="140" spans="1:11" x14ac:dyDescent="0.25">
      <c r="A140" s="332" t="s">
        <v>884</v>
      </c>
      <c r="B140" s="332" t="s">
        <v>885</v>
      </c>
      <c r="C140" s="514">
        <v>0</v>
      </c>
      <c r="D140" s="514">
        <v>0</v>
      </c>
      <c r="E140" s="514">
        <v>0</v>
      </c>
      <c r="F140" s="514">
        <v>0</v>
      </c>
      <c r="G140" s="514">
        <v>0</v>
      </c>
      <c r="H140" s="514">
        <v>0</v>
      </c>
      <c r="I140" s="528"/>
      <c r="J140" s="330"/>
    </row>
    <row r="141" spans="1:11" x14ac:dyDescent="0.25">
      <c r="A141" s="328" t="s">
        <v>886</v>
      </c>
      <c r="B141" s="332"/>
      <c r="C141" s="519">
        <f t="shared" ref="C141:H141" si="15">SUM(C135:C140)</f>
        <v>50632</v>
      </c>
      <c r="D141" s="519">
        <f t="shared" si="15"/>
        <v>61241</v>
      </c>
      <c r="E141" s="519">
        <f t="shared" si="15"/>
        <v>39997</v>
      </c>
      <c r="F141" s="519">
        <f t="shared" si="15"/>
        <v>43172</v>
      </c>
      <c r="G141" s="519">
        <f t="shared" si="15"/>
        <v>46323</v>
      </c>
      <c r="H141" s="519">
        <f t="shared" si="15"/>
        <v>46843</v>
      </c>
      <c r="I141" s="528"/>
      <c r="J141" s="330"/>
    </row>
    <row r="142" spans="1:11" x14ac:dyDescent="0.25">
      <c r="A142" s="328"/>
      <c r="B142" s="332"/>
      <c r="C142" s="514"/>
      <c r="D142" s="514"/>
      <c r="E142" s="514"/>
      <c r="F142" s="514"/>
      <c r="G142" s="516"/>
      <c r="H142" s="516"/>
      <c r="I142" s="528"/>
      <c r="J142" s="330"/>
    </row>
    <row r="143" spans="1:11" x14ac:dyDescent="0.25">
      <c r="A143" s="332" t="s">
        <v>887</v>
      </c>
      <c r="B143" s="332" t="s">
        <v>888</v>
      </c>
      <c r="C143" s="514">
        <v>15665</v>
      </c>
      <c r="D143" s="514">
        <v>15000</v>
      </c>
      <c r="E143" s="514">
        <v>22000</v>
      </c>
      <c r="F143" s="514">
        <v>16552</v>
      </c>
      <c r="G143" s="514">
        <v>17600</v>
      </c>
      <c r="H143" s="514">
        <v>20000</v>
      </c>
      <c r="I143" s="528"/>
      <c r="J143" s="330"/>
    </row>
    <row r="144" spans="1:11" x14ac:dyDescent="0.25">
      <c r="A144" s="332" t="s">
        <v>2242</v>
      </c>
      <c r="B144" s="332" t="s">
        <v>893</v>
      </c>
      <c r="C144" s="514">
        <v>47</v>
      </c>
      <c r="D144" s="514">
        <v>45</v>
      </c>
      <c r="E144" s="514">
        <v>66</v>
      </c>
      <c r="F144" s="514">
        <v>50</v>
      </c>
      <c r="G144" s="515">
        <v>53</v>
      </c>
      <c r="H144" s="515">
        <v>60</v>
      </c>
      <c r="I144" s="528"/>
      <c r="J144" s="330"/>
    </row>
    <row r="145" spans="1:10" x14ac:dyDescent="0.25">
      <c r="A145" s="332" t="s">
        <v>889</v>
      </c>
      <c r="B145" s="332" t="s">
        <v>890</v>
      </c>
      <c r="C145" s="514">
        <v>227</v>
      </c>
      <c r="D145" s="514">
        <v>218</v>
      </c>
      <c r="E145" s="514">
        <v>319</v>
      </c>
      <c r="F145" s="514">
        <v>240</v>
      </c>
      <c r="G145" s="515">
        <v>255</v>
      </c>
      <c r="H145" s="515">
        <v>290</v>
      </c>
      <c r="I145" s="528"/>
      <c r="J145" s="330"/>
    </row>
    <row r="146" spans="1:10" x14ac:dyDescent="0.25">
      <c r="A146" s="332" t="s">
        <v>891</v>
      </c>
      <c r="B146" s="332" t="s">
        <v>892</v>
      </c>
      <c r="C146" s="514">
        <v>3228</v>
      </c>
      <c r="D146" s="514">
        <v>3023</v>
      </c>
      <c r="E146" s="514">
        <v>4433</v>
      </c>
      <c r="F146" s="514">
        <v>3295</v>
      </c>
      <c r="G146" s="515">
        <v>3590</v>
      </c>
      <c r="H146" s="515">
        <v>4080</v>
      </c>
      <c r="I146" s="528"/>
      <c r="J146" s="330"/>
    </row>
    <row r="147" spans="1:10" x14ac:dyDescent="0.25">
      <c r="A147" s="332" t="s">
        <v>894</v>
      </c>
      <c r="B147" s="332" t="s">
        <v>895</v>
      </c>
      <c r="C147" s="514">
        <v>2457</v>
      </c>
      <c r="D147" s="514">
        <v>1500</v>
      </c>
      <c r="E147" s="514">
        <v>2500</v>
      </c>
      <c r="F147" s="514">
        <v>2082</v>
      </c>
      <c r="G147" s="514">
        <v>2500</v>
      </c>
      <c r="H147" s="514">
        <v>2500</v>
      </c>
      <c r="I147" s="528"/>
      <c r="J147" s="330"/>
    </row>
    <row r="148" spans="1:10" x14ac:dyDescent="0.25">
      <c r="A148" s="332" t="s">
        <v>896</v>
      </c>
      <c r="B148" s="332" t="s">
        <v>897</v>
      </c>
      <c r="C148" s="514">
        <v>0</v>
      </c>
      <c r="D148" s="514">
        <v>0</v>
      </c>
      <c r="E148" s="514">
        <v>0</v>
      </c>
      <c r="F148" s="514">
        <v>0</v>
      </c>
      <c r="G148" s="515">
        <v>0</v>
      </c>
      <c r="H148" s="515">
        <v>0</v>
      </c>
      <c r="I148" s="528"/>
      <c r="J148" s="330"/>
    </row>
    <row r="149" spans="1:10" s="331" customFormat="1" x14ac:dyDescent="0.25">
      <c r="A149" s="328" t="s">
        <v>898</v>
      </c>
      <c r="B149" s="328"/>
      <c r="C149" s="524">
        <f t="shared" ref="C149:H149" si="16">SUM(C143:C148)</f>
        <v>21624</v>
      </c>
      <c r="D149" s="524">
        <f t="shared" si="16"/>
        <v>19786</v>
      </c>
      <c r="E149" s="524">
        <f t="shared" si="16"/>
        <v>29318</v>
      </c>
      <c r="F149" s="524">
        <f t="shared" si="16"/>
        <v>22219</v>
      </c>
      <c r="G149" s="525">
        <f t="shared" si="16"/>
        <v>23998</v>
      </c>
      <c r="H149" s="525">
        <f t="shared" si="16"/>
        <v>26930</v>
      </c>
      <c r="I149" s="532"/>
    </row>
    <row r="150" spans="1:10" s="331" customFormat="1" x14ac:dyDescent="0.25">
      <c r="A150" s="328"/>
      <c r="B150" s="328"/>
      <c r="C150" s="514"/>
      <c r="D150" s="514"/>
      <c r="E150" s="514"/>
      <c r="F150" s="514"/>
      <c r="G150" s="516"/>
      <c r="H150" s="516"/>
      <c r="I150" s="532"/>
    </row>
    <row r="151" spans="1:10" x14ac:dyDescent="0.25">
      <c r="A151" s="332" t="s">
        <v>899</v>
      </c>
      <c r="B151" s="332" t="s">
        <v>900</v>
      </c>
      <c r="C151" s="514">
        <v>19418</v>
      </c>
      <c r="D151" s="514">
        <v>13000</v>
      </c>
      <c r="E151" s="514">
        <v>23500</v>
      </c>
      <c r="F151" s="514">
        <v>10551</v>
      </c>
      <c r="G151" s="515">
        <v>11700</v>
      </c>
      <c r="H151" s="515">
        <v>14470</v>
      </c>
      <c r="I151" s="551"/>
      <c r="J151" s="330"/>
    </row>
    <row r="152" spans="1:10" x14ac:dyDescent="0.25">
      <c r="A152" s="332" t="s">
        <v>2243</v>
      </c>
      <c r="B152" s="332" t="s">
        <v>907</v>
      </c>
      <c r="C152" s="514">
        <v>59</v>
      </c>
      <c r="D152" s="514">
        <v>39</v>
      </c>
      <c r="E152" s="514">
        <v>71</v>
      </c>
      <c r="F152" s="514">
        <v>32</v>
      </c>
      <c r="G152" s="515">
        <v>35</v>
      </c>
      <c r="H152" s="515">
        <v>43</v>
      </c>
      <c r="I152" s="528"/>
      <c r="J152" s="330"/>
    </row>
    <row r="153" spans="1:10" x14ac:dyDescent="0.25">
      <c r="A153" s="332" t="s">
        <v>901</v>
      </c>
      <c r="B153" s="332" t="s">
        <v>902</v>
      </c>
      <c r="C153" s="514">
        <v>258</v>
      </c>
      <c r="D153" s="514">
        <v>189</v>
      </c>
      <c r="E153" s="514">
        <v>341</v>
      </c>
      <c r="F153" s="514">
        <v>153</v>
      </c>
      <c r="G153" s="515">
        <v>170</v>
      </c>
      <c r="H153" s="515">
        <v>210</v>
      </c>
      <c r="I153" s="528"/>
      <c r="J153" s="330"/>
    </row>
    <row r="154" spans="1:10" x14ac:dyDescent="0.25">
      <c r="A154" s="332" t="s">
        <v>903</v>
      </c>
      <c r="B154" s="332" t="s">
        <v>904</v>
      </c>
      <c r="C154" s="514">
        <v>3699</v>
      </c>
      <c r="D154" s="514">
        <v>2620</v>
      </c>
      <c r="E154" s="514">
        <v>4735</v>
      </c>
      <c r="F154" s="514">
        <v>2106</v>
      </c>
      <c r="G154" s="515">
        <v>2387</v>
      </c>
      <c r="H154" s="515">
        <v>2952</v>
      </c>
      <c r="I154" s="528"/>
      <c r="J154" s="330"/>
    </row>
    <row r="155" spans="1:10" x14ac:dyDescent="0.25">
      <c r="A155" s="332" t="s">
        <v>905</v>
      </c>
      <c r="B155" s="332" t="s">
        <v>906</v>
      </c>
      <c r="C155" s="514">
        <v>217</v>
      </c>
      <c r="D155" s="514">
        <v>0</v>
      </c>
      <c r="E155" s="514">
        <v>0</v>
      </c>
      <c r="F155" s="514">
        <v>0</v>
      </c>
      <c r="G155" s="515">
        <v>0</v>
      </c>
      <c r="H155" s="515">
        <v>0</v>
      </c>
      <c r="I155" s="528"/>
      <c r="J155" s="330"/>
    </row>
    <row r="156" spans="1:10" x14ac:dyDescent="0.25">
      <c r="A156" s="332" t="s">
        <v>1998</v>
      </c>
      <c r="B156" s="332" t="s">
        <v>321</v>
      </c>
      <c r="C156" s="514">
        <v>310</v>
      </c>
      <c r="D156" s="514">
        <v>2000</v>
      </c>
      <c r="E156" s="514">
        <v>500</v>
      </c>
      <c r="F156" s="514">
        <v>313</v>
      </c>
      <c r="G156" s="514">
        <v>0</v>
      </c>
      <c r="H156" s="514">
        <v>0</v>
      </c>
      <c r="I156" s="528"/>
      <c r="J156" s="330"/>
    </row>
    <row r="157" spans="1:10" x14ac:dyDescent="0.25">
      <c r="A157" s="332" t="s">
        <v>2244</v>
      </c>
      <c r="B157" s="332" t="s">
        <v>1404</v>
      </c>
      <c r="C157" s="514">
        <v>0</v>
      </c>
      <c r="D157" s="514">
        <v>0</v>
      </c>
      <c r="E157" s="514">
        <v>1700</v>
      </c>
      <c r="F157" s="514">
        <v>1668</v>
      </c>
      <c r="G157" s="514">
        <v>1700</v>
      </c>
      <c r="H157" s="514">
        <v>2657</v>
      </c>
      <c r="I157" s="528"/>
      <c r="J157" s="330"/>
    </row>
    <row r="158" spans="1:10" x14ac:dyDescent="0.25">
      <c r="A158" s="328" t="s">
        <v>908</v>
      </c>
      <c r="B158" s="332"/>
      <c r="C158" s="519">
        <f>SUM(C151:C157)</f>
        <v>23961</v>
      </c>
      <c r="D158" s="519">
        <f>SUM(D151:D156)</f>
        <v>17848</v>
      </c>
      <c r="E158" s="519">
        <f>SUM(E151:E157)</f>
        <v>30847</v>
      </c>
      <c r="F158" s="519">
        <f>SUM(F151:F157)</f>
        <v>14823</v>
      </c>
      <c r="G158" s="519">
        <f>SUM(G151:G157)</f>
        <v>15992</v>
      </c>
      <c r="H158" s="519">
        <f>SUM(H151:H157)</f>
        <v>20332</v>
      </c>
      <c r="I158" s="528"/>
      <c r="J158" s="330"/>
    </row>
    <row r="159" spans="1:10" x14ac:dyDescent="0.25">
      <c r="B159" s="332"/>
      <c r="C159" s="514"/>
      <c r="D159" s="514"/>
      <c r="E159" s="514"/>
      <c r="F159" s="514"/>
      <c r="G159" s="516"/>
      <c r="H159" s="516"/>
      <c r="I159" s="528"/>
      <c r="J159" s="330"/>
    </row>
    <row r="160" spans="1:10" x14ac:dyDescent="0.25">
      <c r="A160" s="332" t="s">
        <v>1512</v>
      </c>
      <c r="B160" s="332" t="s">
        <v>1513</v>
      </c>
      <c r="C160" s="514">
        <v>0</v>
      </c>
      <c r="D160" s="514">
        <v>0</v>
      </c>
      <c r="E160" s="514">
        <v>0</v>
      </c>
      <c r="F160" s="514">
        <v>0</v>
      </c>
      <c r="G160" s="515">
        <v>0</v>
      </c>
      <c r="H160" s="515">
        <v>0</v>
      </c>
      <c r="I160" s="528"/>
      <c r="J160" s="330"/>
    </row>
    <row r="161" spans="1:10" x14ac:dyDescent="0.25">
      <c r="A161" s="332" t="s">
        <v>1514</v>
      </c>
      <c r="B161" s="332" t="s">
        <v>1515</v>
      </c>
      <c r="C161" s="514">
        <v>0</v>
      </c>
      <c r="D161" s="514">
        <v>0</v>
      </c>
      <c r="E161" s="514">
        <v>0</v>
      </c>
      <c r="F161" s="514">
        <v>0</v>
      </c>
      <c r="G161" s="515">
        <v>0</v>
      </c>
      <c r="H161" s="515">
        <v>0</v>
      </c>
      <c r="I161" s="528"/>
      <c r="J161" s="330"/>
    </row>
    <row r="162" spans="1:10" x14ac:dyDescent="0.25">
      <c r="A162" s="332" t="s">
        <v>1516</v>
      </c>
      <c r="B162" s="332" t="s">
        <v>1517</v>
      </c>
      <c r="C162" s="514">
        <v>0</v>
      </c>
      <c r="D162" s="514">
        <v>0</v>
      </c>
      <c r="E162" s="514">
        <v>0</v>
      </c>
      <c r="F162" s="514">
        <v>0</v>
      </c>
      <c r="G162" s="515">
        <v>0</v>
      </c>
      <c r="H162" s="515">
        <v>0</v>
      </c>
      <c r="I162" s="528"/>
      <c r="J162" s="330"/>
    </row>
    <row r="163" spans="1:10" x14ac:dyDescent="0.25">
      <c r="A163" s="332" t="s">
        <v>1518</v>
      </c>
      <c r="B163" s="332" t="s">
        <v>1519</v>
      </c>
      <c r="C163" s="514">
        <v>0</v>
      </c>
      <c r="D163" s="514">
        <v>0</v>
      </c>
      <c r="E163" s="514">
        <v>0</v>
      </c>
      <c r="F163" s="514">
        <v>0</v>
      </c>
      <c r="G163" s="515">
        <v>0</v>
      </c>
      <c r="H163" s="515">
        <v>0</v>
      </c>
      <c r="I163" s="528"/>
      <c r="J163" s="330"/>
    </row>
    <row r="164" spans="1:10" x14ac:dyDescent="0.25">
      <c r="A164" s="332" t="s">
        <v>1405</v>
      </c>
      <c r="B164" s="332" t="s">
        <v>1406</v>
      </c>
      <c r="C164" s="514">
        <v>3110</v>
      </c>
      <c r="D164" s="514">
        <v>0</v>
      </c>
      <c r="E164" s="514">
        <v>6919</v>
      </c>
      <c r="F164" s="514">
        <v>6541</v>
      </c>
      <c r="G164" s="515">
        <v>4000</v>
      </c>
      <c r="H164" s="515">
        <v>4878</v>
      </c>
      <c r="I164" s="528"/>
      <c r="J164" s="330"/>
    </row>
    <row r="165" spans="1:10" x14ac:dyDescent="0.25">
      <c r="A165" s="332" t="s">
        <v>1407</v>
      </c>
      <c r="B165" s="332" t="s">
        <v>1408</v>
      </c>
      <c r="C165" s="514">
        <v>890</v>
      </c>
      <c r="D165" s="514">
        <v>4000</v>
      </c>
      <c r="E165" s="514">
        <v>0</v>
      </c>
      <c r="F165" s="514">
        <v>0</v>
      </c>
      <c r="G165" s="515">
        <v>0</v>
      </c>
      <c r="H165" s="515">
        <v>0</v>
      </c>
      <c r="I165" s="528"/>
      <c r="J165" s="330"/>
    </row>
    <row r="166" spans="1:10" x14ac:dyDescent="0.25">
      <c r="A166" s="328" t="s">
        <v>1409</v>
      </c>
      <c r="B166" s="328"/>
      <c r="C166" s="519">
        <f>SUM(C160:C165)</f>
        <v>4000</v>
      </c>
      <c r="D166" s="519">
        <f t="shared" ref="D166:E166" si="17">SUM(D160:D165)</f>
        <v>4000</v>
      </c>
      <c r="E166" s="519">
        <f t="shared" si="17"/>
        <v>6919</v>
      </c>
      <c r="F166" s="519">
        <f>SUM(F160:F165)</f>
        <v>6541</v>
      </c>
      <c r="G166" s="520">
        <f t="shared" ref="G166:H166" si="18">SUM(G160:G165)</f>
        <v>4000</v>
      </c>
      <c r="H166" s="520">
        <f t="shared" si="18"/>
        <v>4878</v>
      </c>
      <c r="I166" s="528"/>
      <c r="J166" s="330"/>
    </row>
    <row r="167" spans="1:10" x14ac:dyDescent="0.25">
      <c r="A167" s="328"/>
      <c r="B167" s="328"/>
      <c r="C167" s="519"/>
      <c r="D167" s="519"/>
      <c r="E167" s="519"/>
      <c r="F167" s="519"/>
      <c r="G167" s="521"/>
      <c r="H167" s="521"/>
      <c r="I167" s="528"/>
      <c r="J167" s="330"/>
    </row>
    <row r="168" spans="1:10" x14ac:dyDescent="0.25">
      <c r="A168" s="332" t="s">
        <v>1410</v>
      </c>
      <c r="B168" s="332" t="s">
        <v>1411</v>
      </c>
      <c r="C168" s="514">
        <v>0</v>
      </c>
      <c r="D168" s="514">
        <v>0</v>
      </c>
      <c r="E168" s="514">
        <v>17500</v>
      </c>
      <c r="F168" s="514">
        <v>20360</v>
      </c>
      <c r="G168" s="514">
        <v>17500</v>
      </c>
      <c r="H168" s="514">
        <v>17500</v>
      </c>
      <c r="I168" s="528"/>
      <c r="J168" s="330"/>
    </row>
    <row r="169" spans="1:10" x14ac:dyDescent="0.25">
      <c r="A169" s="332" t="s">
        <v>1419</v>
      </c>
      <c r="B169" s="332" t="s">
        <v>1520</v>
      </c>
      <c r="C169" s="514">
        <v>0</v>
      </c>
      <c r="D169" s="514">
        <v>0</v>
      </c>
      <c r="E169" s="514">
        <v>65</v>
      </c>
      <c r="F169" s="514">
        <v>40</v>
      </c>
      <c r="G169" s="515">
        <v>65</v>
      </c>
      <c r="H169" s="515">
        <v>65</v>
      </c>
      <c r="I169" s="528"/>
      <c r="J169" s="330"/>
    </row>
    <row r="170" spans="1:10" x14ac:dyDescent="0.25">
      <c r="A170" s="332" t="s">
        <v>1416</v>
      </c>
      <c r="B170" s="332" t="s">
        <v>1417</v>
      </c>
      <c r="C170" s="514">
        <v>0</v>
      </c>
      <c r="D170" s="514">
        <v>0</v>
      </c>
      <c r="E170" s="514">
        <v>53</v>
      </c>
      <c r="F170" s="514">
        <v>60</v>
      </c>
      <c r="G170" s="515">
        <v>53</v>
      </c>
      <c r="H170" s="515">
        <v>53</v>
      </c>
      <c r="I170" s="528"/>
      <c r="J170" s="330"/>
    </row>
    <row r="171" spans="1:10" x14ac:dyDescent="0.25">
      <c r="A171" s="332" t="s">
        <v>2253</v>
      </c>
      <c r="B171" s="332" t="s">
        <v>1413</v>
      </c>
      <c r="C171" s="514">
        <v>0</v>
      </c>
      <c r="D171" s="514">
        <v>0</v>
      </c>
      <c r="E171" s="514">
        <v>254</v>
      </c>
      <c r="F171" s="514">
        <v>291</v>
      </c>
      <c r="G171" s="515">
        <v>254</v>
      </c>
      <c r="H171" s="515">
        <v>254</v>
      </c>
      <c r="I171" s="528"/>
      <c r="J171" s="330"/>
    </row>
    <row r="172" spans="1:10" x14ac:dyDescent="0.25">
      <c r="A172" s="332" t="s">
        <v>1414</v>
      </c>
      <c r="B172" s="332" t="s">
        <v>1415</v>
      </c>
      <c r="C172" s="514">
        <v>0</v>
      </c>
      <c r="D172" s="514">
        <v>0</v>
      </c>
      <c r="E172" s="514">
        <v>3526</v>
      </c>
      <c r="F172" s="514">
        <v>3363</v>
      </c>
      <c r="G172" s="515">
        <v>3526</v>
      </c>
      <c r="H172" s="515">
        <v>3570</v>
      </c>
      <c r="I172" s="528"/>
      <c r="J172" s="330"/>
    </row>
    <row r="173" spans="1:10" x14ac:dyDescent="0.25">
      <c r="A173" s="332" t="s">
        <v>1412</v>
      </c>
      <c r="B173" s="332" t="s">
        <v>1418</v>
      </c>
      <c r="C173" s="514">
        <v>0</v>
      </c>
      <c r="D173" s="514">
        <v>0</v>
      </c>
      <c r="E173" s="514">
        <v>5879</v>
      </c>
      <c r="F173" s="514">
        <v>4939</v>
      </c>
      <c r="G173" s="515">
        <v>5879</v>
      </c>
      <c r="H173" s="515">
        <v>6170</v>
      </c>
      <c r="I173" s="528"/>
      <c r="J173" s="330"/>
    </row>
    <row r="174" spans="1:10" s="528" customFormat="1" x14ac:dyDescent="0.25">
      <c r="A174" s="567" t="s">
        <v>2248</v>
      </c>
      <c r="B174" s="567" t="s">
        <v>2484</v>
      </c>
      <c r="C174" s="514">
        <v>0</v>
      </c>
      <c r="D174" s="514">
        <v>0</v>
      </c>
      <c r="E174" s="514">
        <v>0</v>
      </c>
      <c r="F174" s="514">
        <v>0</v>
      </c>
      <c r="G174" s="515">
        <v>0</v>
      </c>
      <c r="H174" s="515">
        <v>2679</v>
      </c>
    </row>
    <row r="175" spans="1:10" x14ac:dyDescent="0.25">
      <c r="A175" s="332" t="s">
        <v>2248</v>
      </c>
      <c r="B175" s="332" t="s">
        <v>1522</v>
      </c>
      <c r="C175" s="514">
        <v>0</v>
      </c>
      <c r="D175" s="514">
        <v>0</v>
      </c>
      <c r="E175" s="514">
        <v>2724</v>
      </c>
      <c r="F175" s="514">
        <v>0</v>
      </c>
      <c r="G175" s="514">
        <v>2724</v>
      </c>
      <c r="H175" s="514">
        <v>4916</v>
      </c>
      <c r="I175" s="528"/>
      <c r="J175" s="330"/>
    </row>
    <row r="176" spans="1:10" x14ac:dyDescent="0.25">
      <c r="A176" s="332" t="s">
        <v>2245</v>
      </c>
      <c r="B176" s="332" t="s">
        <v>1420</v>
      </c>
      <c r="C176" s="514">
        <v>0</v>
      </c>
      <c r="D176" s="514">
        <v>0</v>
      </c>
      <c r="E176" s="514">
        <v>7588</v>
      </c>
      <c r="F176" s="514">
        <v>0</v>
      </c>
      <c r="G176" s="514">
        <v>7588</v>
      </c>
      <c r="H176" s="514">
        <v>5365</v>
      </c>
      <c r="I176" s="552"/>
      <c r="J176" s="330"/>
    </row>
    <row r="177" spans="1:10" x14ac:dyDescent="0.25">
      <c r="A177" s="332" t="s">
        <v>1424</v>
      </c>
      <c r="B177" s="332" t="s">
        <v>1425</v>
      </c>
      <c r="C177" s="514">
        <v>0</v>
      </c>
      <c r="D177" s="514">
        <v>0</v>
      </c>
      <c r="E177" s="514">
        <v>23</v>
      </c>
      <c r="F177" s="514">
        <v>0</v>
      </c>
      <c r="G177" s="515">
        <v>23</v>
      </c>
      <c r="H177" s="515">
        <v>16</v>
      </c>
      <c r="I177" s="528"/>
      <c r="J177" s="330"/>
    </row>
    <row r="178" spans="1:10" x14ac:dyDescent="0.25">
      <c r="A178" s="332" t="s">
        <v>1521</v>
      </c>
      <c r="B178" s="332" t="s">
        <v>1421</v>
      </c>
      <c r="C178" s="514">
        <v>0</v>
      </c>
      <c r="D178" s="514">
        <v>0</v>
      </c>
      <c r="E178" s="514">
        <v>110</v>
      </c>
      <c r="F178" s="514">
        <v>0</v>
      </c>
      <c r="G178" s="515">
        <v>110</v>
      </c>
      <c r="H178" s="515">
        <v>78</v>
      </c>
      <c r="I178" s="528"/>
      <c r="J178" s="330"/>
    </row>
    <row r="179" spans="1:10" x14ac:dyDescent="0.25">
      <c r="A179" s="332" t="s">
        <v>1422</v>
      </c>
      <c r="B179" s="332" t="s">
        <v>1423</v>
      </c>
      <c r="C179" s="514">
        <v>0</v>
      </c>
      <c r="D179" s="514">
        <v>0</v>
      </c>
      <c r="E179" s="514">
        <v>1529</v>
      </c>
      <c r="F179" s="514">
        <v>0</v>
      </c>
      <c r="G179" s="515">
        <v>1529</v>
      </c>
      <c r="H179" s="515">
        <v>1095</v>
      </c>
      <c r="I179" s="528"/>
      <c r="J179" s="330"/>
    </row>
    <row r="180" spans="1:10" x14ac:dyDescent="0.25">
      <c r="A180" s="332" t="s">
        <v>1434</v>
      </c>
      <c r="B180" s="332" t="s">
        <v>1437</v>
      </c>
      <c r="C180" s="514">
        <v>0</v>
      </c>
      <c r="D180" s="514">
        <v>0</v>
      </c>
      <c r="E180" s="514">
        <v>3700</v>
      </c>
      <c r="F180" s="514">
        <v>4330</v>
      </c>
      <c r="G180" s="514">
        <v>3700</v>
      </c>
      <c r="H180" s="514">
        <v>1274</v>
      </c>
      <c r="I180" s="528"/>
      <c r="J180" s="330"/>
    </row>
    <row r="181" spans="1:10" x14ac:dyDescent="0.25">
      <c r="A181" s="332" t="s">
        <v>1436</v>
      </c>
      <c r="B181" s="332" t="s">
        <v>1435</v>
      </c>
      <c r="C181" s="514">
        <v>0</v>
      </c>
      <c r="D181" s="514">
        <v>0</v>
      </c>
      <c r="E181" s="514">
        <v>4146</v>
      </c>
      <c r="F181" s="514">
        <v>657</v>
      </c>
      <c r="G181" s="514">
        <v>4146</v>
      </c>
      <c r="H181" s="514">
        <v>2913</v>
      </c>
      <c r="I181" s="528"/>
      <c r="J181" s="330"/>
    </row>
    <row r="182" spans="1:10" x14ac:dyDescent="0.25">
      <c r="A182" s="332" t="s">
        <v>1436</v>
      </c>
      <c r="B182" s="332" t="s">
        <v>2485</v>
      </c>
      <c r="C182" s="514">
        <v>0</v>
      </c>
      <c r="D182" s="514">
        <v>0</v>
      </c>
      <c r="E182" s="514">
        <v>0</v>
      </c>
      <c r="F182" s="514">
        <v>0</v>
      </c>
      <c r="G182" s="514">
        <v>0</v>
      </c>
      <c r="H182" s="514">
        <v>728</v>
      </c>
      <c r="I182" s="528"/>
      <c r="J182" s="330"/>
    </row>
    <row r="183" spans="1:10" x14ac:dyDescent="0.25">
      <c r="A183" s="332" t="s">
        <v>1426</v>
      </c>
      <c r="B183" s="332" t="s">
        <v>1427</v>
      </c>
      <c r="C183" s="514">
        <v>0</v>
      </c>
      <c r="D183" s="514">
        <v>0</v>
      </c>
      <c r="E183" s="514">
        <v>3035</v>
      </c>
      <c r="F183" s="514">
        <v>6785</v>
      </c>
      <c r="G183" s="514">
        <v>3035</v>
      </c>
      <c r="H183" s="514">
        <v>3035</v>
      </c>
      <c r="I183" s="528"/>
      <c r="J183" s="330"/>
    </row>
    <row r="184" spans="1:10" x14ac:dyDescent="0.25">
      <c r="A184" s="332" t="s">
        <v>1431</v>
      </c>
      <c r="B184" s="332" t="s">
        <v>1432</v>
      </c>
      <c r="C184" s="514">
        <v>0</v>
      </c>
      <c r="D184" s="514">
        <v>0</v>
      </c>
      <c r="E184" s="514">
        <v>9</v>
      </c>
      <c r="F184" s="514">
        <v>20</v>
      </c>
      <c r="G184" s="515">
        <v>9</v>
      </c>
      <c r="H184" s="515">
        <v>9</v>
      </c>
      <c r="I184" s="552"/>
      <c r="J184" s="330"/>
    </row>
    <row r="185" spans="1:10" x14ac:dyDescent="0.25">
      <c r="A185" s="332" t="s">
        <v>2251</v>
      </c>
      <c r="B185" s="332" t="s">
        <v>1428</v>
      </c>
      <c r="C185" s="514">
        <v>0</v>
      </c>
      <c r="D185" s="514">
        <v>0</v>
      </c>
      <c r="E185" s="514">
        <v>44</v>
      </c>
      <c r="F185" s="514">
        <v>98</v>
      </c>
      <c r="G185" s="515">
        <v>44</v>
      </c>
      <c r="H185" s="515">
        <v>44</v>
      </c>
      <c r="I185" s="528"/>
      <c r="J185" s="330"/>
    </row>
    <row r="186" spans="1:10" x14ac:dyDescent="0.25">
      <c r="A186" s="332" t="s">
        <v>1429</v>
      </c>
      <c r="B186" s="332" t="s">
        <v>1430</v>
      </c>
      <c r="C186" s="514">
        <v>0</v>
      </c>
      <c r="D186" s="514">
        <v>0</v>
      </c>
      <c r="E186" s="514">
        <v>612</v>
      </c>
      <c r="F186" s="514">
        <v>1359</v>
      </c>
      <c r="G186" s="515">
        <v>612</v>
      </c>
      <c r="H186" s="515">
        <v>612</v>
      </c>
      <c r="I186" s="528"/>
      <c r="J186" s="330"/>
    </row>
    <row r="187" spans="1:10" x14ac:dyDescent="0.25">
      <c r="A187" s="332" t="s">
        <v>2247</v>
      </c>
      <c r="B187" s="332" t="s">
        <v>1433</v>
      </c>
      <c r="C187" s="514">
        <v>0</v>
      </c>
      <c r="D187" s="514">
        <v>0</v>
      </c>
      <c r="E187" s="514">
        <v>2220</v>
      </c>
      <c r="F187" s="514">
        <v>3490</v>
      </c>
      <c r="G187" s="514">
        <v>2220</v>
      </c>
      <c r="H187" s="514">
        <v>1456</v>
      </c>
      <c r="I187" s="528"/>
      <c r="J187" s="330"/>
    </row>
    <row r="188" spans="1:10" x14ac:dyDescent="0.25">
      <c r="A188" s="328" t="s">
        <v>1438</v>
      </c>
      <c r="B188" s="332"/>
      <c r="C188" s="519">
        <f t="shared" ref="C188:H188" si="19">SUM(C168:C187)</f>
        <v>0</v>
      </c>
      <c r="D188" s="519">
        <f t="shared" si="19"/>
        <v>0</v>
      </c>
      <c r="E188" s="519">
        <f t="shared" si="19"/>
        <v>53017</v>
      </c>
      <c r="F188" s="519">
        <f t="shared" si="19"/>
        <v>45792</v>
      </c>
      <c r="G188" s="519">
        <f t="shared" si="19"/>
        <v>53017</v>
      </c>
      <c r="H188" s="519">
        <f t="shared" si="19"/>
        <v>51832</v>
      </c>
      <c r="I188" s="528"/>
      <c r="J188" s="330"/>
    </row>
    <row r="189" spans="1:10" x14ac:dyDescent="0.25">
      <c r="A189" s="328"/>
      <c r="B189" s="332"/>
      <c r="C189" s="514"/>
      <c r="D189" s="514"/>
      <c r="E189" s="514"/>
      <c r="F189" s="514"/>
      <c r="G189" s="516"/>
      <c r="H189" s="516"/>
      <c r="I189" s="528"/>
      <c r="J189" s="330"/>
    </row>
    <row r="190" spans="1:10" x14ac:dyDescent="0.25">
      <c r="A190" s="332" t="s">
        <v>1439</v>
      </c>
      <c r="B190" s="332" t="s">
        <v>1440</v>
      </c>
      <c r="C190" s="514">
        <v>0</v>
      </c>
      <c r="D190" s="514">
        <v>0</v>
      </c>
      <c r="E190" s="514">
        <v>30429</v>
      </c>
      <c r="F190" s="514">
        <v>3957</v>
      </c>
      <c r="G190" s="514">
        <v>0</v>
      </c>
      <c r="H190" s="514">
        <v>20918</v>
      </c>
      <c r="I190" s="528"/>
      <c r="J190" s="330"/>
    </row>
    <row r="191" spans="1:10" x14ac:dyDescent="0.25">
      <c r="A191" s="328" t="s">
        <v>1441</v>
      </c>
      <c r="B191" s="332"/>
      <c r="C191" s="519">
        <f t="shared" ref="C191:H191" si="20">SUM(C190)</f>
        <v>0</v>
      </c>
      <c r="D191" s="519">
        <f t="shared" si="20"/>
        <v>0</v>
      </c>
      <c r="E191" s="519">
        <f t="shared" si="20"/>
        <v>30429</v>
      </c>
      <c r="F191" s="519">
        <f t="shared" si="20"/>
        <v>3957</v>
      </c>
      <c r="G191" s="519">
        <f t="shared" si="20"/>
        <v>0</v>
      </c>
      <c r="H191" s="519">
        <f t="shared" si="20"/>
        <v>20918</v>
      </c>
      <c r="I191" s="528"/>
      <c r="J191" s="330"/>
    </row>
    <row r="192" spans="1:10" x14ac:dyDescent="0.25">
      <c r="A192" s="328"/>
      <c r="B192" s="332" t="s">
        <v>402</v>
      </c>
      <c r="C192" s="514"/>
      <c r="D192" s="514"/>
      <c r="E192" s="514"/>
      <c r="F192" s="514"/>
      <c r="G192" s="516"/>
      <c r="H192" s="516"/>
      <c r="I192" s="528"/>
      <c r="J192" s="330"/>
    </row>
    <row r="193" spans="1:10" s="528" customFormat="1" x14ac:dyDescent="0.25">
      <c r="A193" s="567" t="s">
        <v>2486</v>
      </c>
      <c r="B193" s="567" t="s">
        <v>2487</v>
      </c>
      <c r="C193" s="514">
        <v>0</v>
      </c>
      <c r="D193" s="514">
        <v>0</v>
      </c>
      <c r="E193" s="514">
        <v>0</v>
      </c>
      <c r="F193" s="514">
        <v>1678</v>
      </c>
      <c r="G193" s="514">
        <v>0</v>
      </c>
      <c r="H193" s="514">
        <v>0</v>
      </c>
    </row>
    <row r="194" spans="1:10" s="528" customFormat="1" x14ac:dyDescent="0.25">
      <c r="A194" s="567" t="s">
        <v>2488</v>
      </c>
      <c r="B194" s="567" t="s">
        <v>2489</v>
      </c>
      <c r="C194" s="514">
        <v>0</v>
      </c>
      <c r="D194" s="514">
        <v>0</v>
      </c>
      <c r="E194" s="514">
        <v>0</v>
      </c>
      <c r="F194" s="514">
        <v>5</v>
      </c>
      <c r="G194" s="514">
        <v>0</v>
      </c>
      <c r="H194" s="514">
        <v>0</v>
      </c>
    </row>
    <row r="195" spans="1:10" s="528" customFormat="1" x14ac:dyDescent="0.25">
      <c r="A195" s="567" t="s">
        <v>2490</v>
      </c>
      <c r="B195" s="567" t="s">
        <v>2491</v>
      </c>
      <c r="C195" s="514">
        <v>0</v>
      </c>
      <c r="D195" s="514">
        <v>0</v>
      </c>
      <c r="E195" s="514">
        <v>0</v>
      </c>
      <c r="F195" s="514">
        <v>24</v>
      </c>
      <c r="G195" s="514">
        <v>0</v>
      </c>
      <c r="H195" s="514">
        <v>0</v>
      </c>
    </row>
    <row r="196" spans="1:10" s="528" customFormat="1" x14ac:dyDescent="0.25">
      <c r="A196" s="567" t="s">
        <v>2492</v>
      </c>
      <c r="B196" s="567" t="s">
        <v>2493</v>
      </c>
      <c r="C196" s="514">
        <v>0</v>
      </c>
      <c r="D196" s="514">
        <v>0</v>
      </c>
      <c r="E196" s="514">
        <v>0</v>
      </c>
      <c r="F196" s="514">
        <v>330</v>
      </c>
      <c r="G196" s="514">
        <v>0</v>
      </c>
      <c r="H196" s="514">
        <v>0</v>
      </c>
    </row>
    <row r="197" spans="1:10" s="528" customFormat="1" x14ac:dyDescent="0.25">
      <c r="A197" s="567" t="s">
        <v>2494</v>
      </c>
      <c r="B197" s="567" t="s">
        <v>2495</v>
      </c>
      <c r="C197" s="514">
        <v>0</v>
      </c>
      <c r="D197" s="514">
        <v>0</v>
      </c>
      <c r="E197" s="514">
        <v>0</v>
      </c>
      <c r="F197" s="514">
        <v>315</v>
      </c>
      <c r="G197" s="514">
        <v>0</v>
      </c>
      <c r="H197" s="514">
        <v>0</v>
      </c>
    </row>
    <row r="198" spans="1:10" s="528" customFormat="1" x14ac:dyDescent="0.25">
      <c r="A198" s="567" t="s">
        <v>2496</v>
      </c>
      <c r="B198" s="567" t="s">
        <v>2497</v>
      </c>
      <c r="C198" s="514">
        <v>0</v>
      </c>
      <c r="D198" s="514">
        <v>0</v>
      </c>
      <c r="E198" s="514">
        <v>0</v>
      </c>
      <c r="F198" s="514">
        <v>740</v>
      </c>
      <c r="G198" s="514">
        <v>0</v>
      </c>
      <c r="H198" s="514">
        <v>0</v>
      </c>
    </row>
    <row r="199" spans="1:10" x14ac:dyDescent="0.25">
      <c r="A199" s="328" t="s">
        <v>2522</v>
      </c>
      <c r="B199" s="328"/>
      <c r="C199" s="519">
        <f t="shared" ref="C199" si="21">SUM(C193:C198)</f>
        <v>0</v>
      </c>
      <c r="D199" s="519">
        <f t="shared" ref="D199" si="22">SUM(D193:D198)</f>
        <v>0</v>
      </c>
      <c r="E199" s="519">
        <f t="shared" ref="E199" si="23">SUM(E193:E198)</f>
        <v>0</v>
      </c>
      <c r="F199" s="519">
        <f t="shared" ref="F199" si="24">SUM(F193:F198)</f>
        <v>3092</v>
      </c>
      <c r="G199" s="519">
        <f t="shared" ref="G199" si="25">SUM(G193:G198)</f>
        <v>0</v>
      </c>
      <c r="H199" s="519">
        <f t="shared" ref="H199" si="26">SUM(H193:H198)</f>
        <v>0</v>
      </c>
      <c r="I199" s="528"/>
      <c r="J199" s="330"/>
    </row>
    <row r="200" spans="1:10" x14ac:dyDescent="0.25">
      <c r="A200" s="328"/>
      <c r="B200" s="328"/>
      <c r="C200" s="519"/>
      <c r="D200" s="519"/>
      <c r="E200" s="519"/>
      <c r="F200" s="519"/>
      <c r="G200" s="519"/>
      <c r="H200" s="519"/>
      <c r="I200" s="528"/>
      <c r="J200" s="330"/>
    </row>
    <row r="201" spans="1:10" s="528" customFormat="1" x14ac:dyDescent="0.25">
      <c r="A201" s="567" t="s">
        <v>2498</v>
      </c>
      <c r="B201" s="567" t="s">
        <v>2499</v>
      </c>
      <c r="C201" s="514">
        <v>0</v>
      </c>
      <c r="D201" s="514">
        <v>0</v>
      </c>
      <c r="E201" s="514">
        <v>0</v>
      </c>
      <c r="F201" s="514">
        <v>0</v>
      </c>
      <c r="G201" s="514">
        <v>0</v>
      </c>
      <c r="H201" s="514">
        <v>600</v>
      </c>
    </row>
    <row r="202" spans="1:10" s="528" customFormat="1" x14ac:dyDescent="0.25">
      <c r="A202" s="567" t="s">
        <v>2500</v>
      </c>
      <c r="B202" s="567" t="s">
        <v>2501</v>
      </c>
      <c r="C202" s="514">
        <v>0</v>
      </c>
      <c r="D202" s="514">
        <v>0</v>
      </c>
      <c r="E202" s="514">
        <v>0</v>
      </c>
      <c r="F202" s="514">
        <v>0</v>
      </c>
      <c r="G202" s="514">
        <v>0</v>
      </c>
      <c r="H202" s="514">
        <v>2</v>
      </c>
    </row>
    <row r="203" spans="1:10" s="528" customFormat="1" x14ac:dyDescent="0.25">
      <c r="A203" s="567" t="s">
        <v>2503</v>
      </c>
      <c r="B203" s="567" t="s">
        <v>2502</v>
      </c>
      <c r="C203" s="514">
        <v>0</v>
      </c>
      <c r="D203" s="514">
        <v>0</v>
      </c>
      <c r="E203" s="514">
        <v>0</v>
      </c>
      <c r="F203" s="514">
        <v>0</v>
      </c>
      <c r="G203" s="514">
        <v>0</v>
      </c>
      <c r="H203" s="514">
        <v>9</v>
      </c>
    </row>
    <row r="204" spans="1:10" s="528" customFormat="1" x14ac:dyDescent="0.25">
      <c r="A204" s="567" t="s">
        <v>2504</v>
      </c>
      <c r="B204" s="567" t="s">
        <v>2505</v>
      </c>
      <c r="C204" s="514">
        <v>0</v>
      </c>
      <c r="D204" s="514">
        <v>0</v>
      </c>
      <c r="E204" s="514">
        <v>0</v>
      </c>
      <c r="F204" s="514">
        <v>0</v>
      </c>
      <c r="G204" s="514">
        <v>0</v>
      </c>
      <c r="H204" s="514">
        <v>122</v>
      </c>
    </row>
    <row r="205" spans="1:10" s="528" customFormat="1" x14ac:dyDescent="0.25">
      <c r="A205" s="567" t="s">
        <v>2506</v>
      </c>
      <c r="B205" s="567" t="s">
        <v>2507</v>
      </c>
      <c r="C205" s="514">
        <v>0</v>
      </c>
      <c r="D205" s="514">
        <v>0</v>
      </c>
      <c r="E205" s="514">
        <v>0</v>
      </c>
      <c r="F205" s="514">
        <v>0</v>
      </c>
      <c r="G205" s="514">
        <v>0</v>
      </c>
      <c r="H205" s="514">
        <v>650</v>
      </c>
    </row>
    <row r="206" spans="1:10" x14ac:dyDescent="0.25">
      <c r="A206" s="328" t="s">
        <v>2523</v>
      </c>
      <c r="B206" s="328"/>
      <c r="C206" s="519">
        <f t="shared" ref="C206" si="27">SUM(C201:C205)</f>
        <v>0</v>
      </c>
      <c r="D206" s="519">
        <f t="shared" ref="D206" si="28">SUM(D201:D205)</f>
        <v>0</v>
      </c>
      <c r="E206" s="519">
        <f t="shared" ref="E206" si="29">SUM(E201:E205)</f>
        <v>0</v>
      </c>
      <c r="F206" s="519">
        <f t="shared" ref="F206" si="30">SUM(F201:F205)</f>
        <v>0</v>
      </c>
      <c r="G206" s="519">
        <f t="shared" ref="G206" si="31">SUM(G201:G205)</f>
        <v>0</v>
      </c>
      <c r="H206" s="519">
        <f t="shared" ref="H206" si="32">SUM(H201:H205)</f>
        <v>1383</v>
      </c>
      <c r="I206" s="528"/>
      <c r="J206" s="330"/>
    </row>
    <row r="207" spans="1:10" x14ac:dyDescent="0.25">
      <c r="A207" s="328"/>
      <c r="B207" s="328"/>
      <c r="C207" s="519"/>
      <c r="D207" s="519"/>
      <c r="E207" s="519"/>
      <c r="F207" s="519"/>
      <c r="G207" s="519"/>
      <c r="H207" s="519"/>
      <c r="I207" s="528"/>
      <c r="J207" s="330"/>
    </row>
    <row r="208" spans="1:10" x14ac:dyDescent="0.25">
      <c r="A208" s="332" t="s">
        <v>909</v>
      </c>
      <c r="B208" s="332" t="s">
        <v>766</v>
      </c>
      <c r="C208" s="514">
        <v>6553</v>
      </c>
      <c r="D208" s="514">
        <v>5000</v>
      </c>
      <c r="E208" s="514">
        <v>17571</v>
      </c>
      <c r="F208" s="514">
        <v>17571</v>
      </c>
      <c r="G208" s="514">
        <v>5000</v>
      </c>
      <c r="H208" s="514">
        <v>4746</v>
      </c>
      <c r="I208" s="534"/>
      <c r="J208" s="330"/>
    </row>
    <row r="209" spans="1:10" x14ac:dyDescent="0.25">
      <c r="A209" s="328" t="s">
        <v>910</v>
      </c>
      <c r="B209" s="328"/>
      <c r="C209" s="519">
        <f>SUM(C208)</f>
        <v>6553</v>
      </c>
      <c r="D209" s="519">
        <f t="shared" ref="D209:E209" si="33">SUM(D208)</f>
        <v>5000</v>
      </c>
      <c r="E209" s="519">
        <f t="shared" si="33"/>
        <v>17571</v>
      </c>
      <c r="F209" s="519">
        <f>SUM(F208)</f>
        <v>17571</v>
      </c>
      <c r="G209" s="519">
        <f t="shared" ref="G209" si="34">SUM(G208)</f>
        <v>5000</v>
      </c>
      <c r="H209" s="519">
        <f t="shared" ref="H209" si="35">SUM(H208)</f>
        <v>4746</v>
      </c>
      <c r="I209" s="528"/>
      <c r="J209" s="330"/>
    </row>
    <row r="210" spans="1:10" x14ac:dyDescent="0.25">
      <c r="A210" s="328"/>
      <c r="B210" s="332"/>
      <c r="C210" s="514"/>
      <c r="D210" s="514"/>
      <c r="E210" s="514"/>
      <c r="F210" s="514"/>
      <c r="G210" s="516"/>
      <c r="H210" s="516"/>
      <c r="I210" s="528"/>
      <c r="J210" s="330"/>
    </row>
    <row r="211" spans="1:10" x14ac:dyDescent="0.25">
      <c r="A211" s="332" t="s">
        <v>911</v>
      </c>
      <c r="B211" s="332" t="s">
        <v>912</v>
      </c>
      <c r="C211" s="514">
        <v>32030</v>
      </c>
      <c r="D211" s="514">
        <v>37733</v>
      </c>
      <c r="E211" s="514">
        <v>37733</v>
      </c>
      <c r="F211" s="514">
        <v>37933</v>
      </c>
      <c r="G211" s="522">
        <v>38365</v>
      </c>
      <c r="H211" s="522">
        <v>31413</v>
      </c>
      <c r="I211" s="528"/>
      <c r="J211" s="330"/>
    </row>
    <row r="212" spans="1:10" x14ac:dyDescent="0.25">
      <c r="A212" s="332" t="s">
        <v>2249</v>
      </c>
      <c r="B212" s="332" t="s">
        <v>918</v>
      </c>
      <c r="C212" s="514">
        <v>95</v>
      </c>
      <c r="D212" s="514">
        <v>113</v>
      </c>
      <c r="E212" s="514">
        <v>113</v>
      </c>
      <c r="F212" s="514">
        <v>111</v>
      </c>
      <c r="G212" s="514">
        <v>115</v>
      </c>
      <c r="H212" s="514">
        <v>94</v>
      </c>
      <c r="I212" s="528"/>
      <c r="J212" s="330"/>
    </row>
    <row r="213" spans="1:10" x14ac:dyDescent="0.25">
      <c r="A213" s="332" t="s">
        <v>913</v>
      </c>
      <c r="B213" s="332" t="s">
        <v>914</v>
      </c>
      <c r="C213" s="514">
        <v>459</v>
      </c>
      <c r="D213" s="514">
        <v>547</v>
      </c>
      <c r="E213" s="514">
        <v>547</v>
      </c>
      <c r="F213" s="514">
        <v>537</v>
      </c>
      <c r="G213" s="514">
        <v>556</v>
      </c>
      <c r="H213" s="514">
        <v>455</v>
      </c>
      <c r="I213" s="528"/>
      <c r="J213" s="330"/>
    </row>
    <row r="214" spans="1:10" x14ac:dyDescent="0.25">
      <c r="A214" s="332" t="s">
        <v>915</v>
      </c>
      <c r="B214" s="332" t="s">
        <v>916</v>
      </c>
      <c r="C214" s="514">
        <v>6313</v>
      </c>
      <c r="D214" s="514">
        <v>7603</v>
      </c>
      <c r="E214" s="514">
        <v>7603</v>
      </c>
      <c r="F214" s="514">
        <v>7427</v>
      </c>
      <c r="G214" s="515">
        <v>7826</v>
      </c>
      <c r="H214" s="515">
        <v>6408</v>
      </c>
      <c r="I214" s="528"/>
      <c r="J214" s="330"/>
    </row>
    <row r="215" spans="1:10" x14ac:dyDescent="0.25">
      <c r="A215" s="332" t="s">
        <v>2250</v>
      </c>
      <c r="B215" s="332" t="s">
        <v>917</v>
      </c>
      <c r="C215" s="514">
        <v>4792</v>
      </c>
      <c r="D215" s="514">
        <v>6000</v>
      </c>
      <c r="E215" s="514">
        <v>6000</v>
      </c>
      <c r="F215" s="514">
        <v>5478</v>
      </c>
      <c r="G215" s="514">
        <v>6000</v>
      </c>
      <c r="H215" s="514">
        <v>3600</v>
      </c>
      <c r="I215" s="528"/>
      <c r="J215" s="330"/>
    </row>
    <row r="216" spans="1:10" x14ac:dyDescent="0.25">
      <c r="A216" s="332" t="s">
        <v>2684</v>
      </c>
      <c r="B216" s="332" t="s">
        <v>2508</v>
      </c>
      <c r="C216" s="514">
        <v>0</v>
      </c>
      <c r="D216" s="514">
        <v>0</v>
      </c>
      <c r="E216" s="514">
        <v>100</v>
      </c>
      <c r="F216" s="514">
        <v>0</v>
      </c>
      <c r="G216" s="514">
        <v>100</v>
      </c>
      <c r="H216" s="514">
        <v>100</v>
      </c>
      <c r="I216" s="528"/>
      <c r="J216" s="330"/>
    </row>
    <row r="217" spans="1:10" x14ac:dyDescent="0.25">
      <c r="A217" s="332" t="s">
        <v>2509</v>
      </c>
      <c r="B217" s="332" t="s">
        <v>2510</v>
      </c>
      <c r="C217" s="514">
        <v>0</v>
      </c>
      <c r="D217" s="514">
        <v>0</v>
      </c>
      <c r="E217" s="514">
        <v>0</v>
      </c>
      <c r="F217" s="514">
        <v>0</v>
      </c>
      <c r="G217" s="514">
        <v>0</v>
      </c>
      <c r="H217" s="514">
        <v>253</v>
      </c>
      <c r="I217" s="528"/>
      <c r="J217" s="330"/>
    </row>
    <row r="218" spans="1:10" x14ac:dyDescent="0.25">
      <c r="A218" s="328" t="s">
        <v>919</v>
      </c>
      <c r="B218" s="328"/>
      <c r="C218" s="519">
        <f t="shared" ref="C218:H218" si="36">SUM(C211:C217)</f>
        <v>43689</v>
      </c>
      <c r="D218" s="519">
        <f t="shared" si="36"/>
        <v>51996</v>
      </c>
      <c r="E218" s="519">
        <f t="shared" si="36"/>
        <v>52096</v>
      </c>
      <c r="F218" s="519">
        <f t="shared" si="36"/>
        <v>51486</v>
      </c>
      <c r="G218" s="519">
        <f t="shared" si="36"/>
        <v>52962</v>
      </c>
      <c r="H218" s="519">
        <f t="shared" si="36"/>
        <v>42323</v>
      </c>
      <c r="I218" s="528"/>
      <c r="J218" s="330"/>
    </row>
    <row r="219" spans="1:10" x14ac:dyDescent="0.25">
      <c r="A219" s="328"/>
      <c r="B219" s="332"/>
      <c r="C219" s="514"/>
      <c r="D219" s="514"/>
      <c r="E219" s="514"/>
      <c r="F219" s="514"/>
      <c r="G219" s="516"/>
      <c r="H219" s="516"/>
      <c r="I219" s="528"/>
      <c r="J219" s="330"/>
    </row>
    <row r="220" spans="1:10" s="528" customFormat="1" x14ac:dyDescent="0.25">
      <c r="A220" s="567" t="s">
        <v>2511</v>
      </c>
      <c r="B220" s="567" t="s">
        <v>2512</v>
      </c>
      <c r="C220" s="514">
        <v>0</v>
      </c>
      <c r="D220" s="514">
        <v>0</v>
      </c>
      <c r="E220" s="514">
        <v>0</v>
      </c>
      <c r="F220" s="514">
        <v>10052</v>
      </c>
      <c r="G220" s="515">
        <v>0</v>
      </c>
      <c r="H220" s="515">
        <v>2290</v>
      </c>
      <c r="I220" s="551"/>
    </row>
    <row r="221" spans="1:10" x14ac:dyDescent="0.25">
      <c r="A221" s="328" t="s">
        <v>2513</v>
      </c>
      <c r="B221" s="332"/>
      <c r="C221" s="519">
        <f>SUM(C220)</f>
        <v>0</v>
      </c>
      <c r="D221" s="519">
        <f t="shared" ref="D221:E221" si="37">SUM(D220)</f>
        <v>0</v>
      </c>
      <c r="E221" s="519">
        <f t="shared" si="37"/>
        <v>0</v>
      </c>
      <c r="F221" s="519">
        <f>SUM(F220)</f>
        <v>10052</v>
      </c>
      <c r="G221" s="519">
        <f t="shared" ref="G221:H221" si="38">SUM(G220)</f>
        <v>0</v>
      </c>
      <c r="H221" s="519">
        <f t="shared" si="38"/>
        <v>2290</v>
      </c>
      <c r="I221" s="528"/>
      <c r="J221" s="330"/>
    </row>
    <row r="222" spans="1:10" x14ac:dyDescent="0.25">
      <c r="A222" s="328"/>
      <c r="B222" s="332"/>
      <c r="C222" s="519"/>
      <c r="D222" s="519"/>
      <c r="E222" s="519"/>
      <c r="F222" s="519"/>
      <c r="G222" s="519"/>
      <c r="H222" s="519"/>
      <c r="I222" s="528"/>
      <c r="J222" s="330"/>
    </row>
    <row r="223" spans="1:10" s="528" customFormat="1" x14ac:dyDescent="0.25">
      <c r="A223" s="567" t="s">
        <v>2514</v>
      </c>
      <c r="B223" s="567" t="s">
        <v>2473</v>
      </c>
      <c r="C223" s="514">
        <v>0</v>
      </c>
      <c r="D223" s="514">
        <v>0</v>
      </c>
      <c r="E223" s="514">
        <v>0</v>
      </c>
      <c r="F223" s="514">
        <v>1954</v>
      </c>
      <c r="G223" s="515">
        <v>0</v>
      </c>
      <c r="H223" s="515">
        <v>995</v>
      </c>
      <c r="I223" s="551"/>
    </row>
    <row r="224" spans="1:10" x14ac:dyDescent="0.25">
      <c r="A224" s="328" t="s">
        <v>2515</v>
      </c>
      <c r="B224" s="332"/>
      <c r="C224" s="519">
        <f>SUM(C223)</f>
        <v>0</v>
      </c>
      <c r="D224" s="519">
        <f t="shared" ref="D224:E224" si="39">SUM(D223)</f>
        <v>0</v>
      </c>
      <c r="E224" s="519">
        <f t="shared" si="39"/>
        <v>0</v>
      </c>
      <c r="F224" s="519">
        <f>SUM(F223)</f>
        <v>1954</v>
      </c>
      <c r="G224" s="519">
        <f t="shared" ref="G224:H224" si="40">SUM(G223)</f>
        <v>0</v>
      </c>
      <c r="H224" s="519">
        <f t="shared" si="40"/>
        <v>995</v>
      </c>
      <c r="I224" s="528"/>
      <c r="J224" s="330"/>
    </row>
    <row r="225" spans="1:10" x14ac:dyDescent="0.25">
      <c r="A225" s="328"/>
      <c r="B225" s="332"/>
      <c r="C225" s="519"/>
      <c r="D225" s="519"/>
      <c r="E225" s="519"/>
      <c r="F225" s="519"/>
      <c r="G225" s="519"/>
      <c r="H225" s="519"/>
      <c r="I225" s="528"/>
      <c r="J225" s="330"/>
    </row>
    <row r="226" spans="1:10" s="528" customFormat="1" x14ac:dyDescent="0.25">
      <c r="A226" s="567" t="s">
        <v>2516</v>
      </c>
      <c r="B226" s="567" t="s">
        <v>2476</v>
      </c>
      <c r="C226" s="514">
        <v>0</v>
      </c>
      <c r="D226" s="514">
        <v>0</v>
      </c>
      <c r="E226" s="514">
        <v>0</v>
      </c>
      <c r="F226" s="514">
        <v>0</v>
      </c>
      <c r="G226" s="515">
        <v>0</v>
      </c>
      <c r="H226" s="515">
        <v>926</v>
      </c>
      <c r="I226" s="551"/>
    </row>
    <row r="227" spans="1:10" x14ac:dyDescent="0.25">
      <c r="A227" s="328" t="s">
        <v>2517</v>
      </c>
      <c r="B227" s="332"/>
      <c r="C227" s="519">
        <f>SUM(C226)</f>
        <v>0</v>
      </c>
      <c r="D227" s="519">
        <f t="shared" ref="D227:E227" si="41">SUM(D226)</f>
        <v>0</v>
      </c>
      <c r="E227" s="519">
        <f t="shared" si="41"/>
        <v>0</v>
      </c>
      <c r="F227" s="519">
        <f>SUM(F226)</f>
        <v>0</v>
      </c>
      <c r="G227" s="519">
        <f t="shared" ref="G227:H227" si="42">SUM(G226)</f>
        <v>0</v>
      </c>
      <c r="H227" s="519">
        <f t="shared" si="42"/>
        <v>926</v>
      </c>
      <c r="I227" s="528"/>
      <c r="J227" s="330"/>
    </row>
    <row r="228" spans="1:10" x14ac:dyDescent="0.25">
      <c r="A228" s="328"/>
      <c r="B228" s="332"/>
      <c r="C228" s="519"/>
      <c r="D228" s="519"/>
      <c r="E228" s="519"/>
      <c r="F228" s="519"/>
      <c r="G228" s="519"/>
      <c r="H228" s="519"/>
      <c r="I228" s="528"/>
      <c r="J228" s="330"/>
    </row>
    <row r="229" spans="1:10" s="528" customFormat="1" x14ac:dyDescent="0.25">
      <c r="A229" s="567" t="s">
        <v>2518</v>
      </c>
      <c r="B229" s="567" t="s">
        <v>2479</v>
      </c>
      <c r="C229" s="514">
        <v>0</v>
      </c>
      <c r="D229" s="514">
        <v>0</v>
      </c>
      <c r="E229" s="514">
        <v>0</v>
      </c>
      <c r="F229" s="514">
        <v>0</v>
      </c>
      <c r="G229" s="515">
        <v>0</v>
      </c>
      <c r="H229" s="515">
        <v>1087</v>
      </c>
      <c r="I229" s="551"/>
    </row>
    <row r="230" spans="1:10" x14ac:dyDescent="0.25">
      <c r="A230" s="328" t="s">
        <v>2517</v>
      </c>
      <c r="B230" s="332"/>
      <c r="C230" s="519">
        <f>SUM(C229)</f>
        <v>0</v>
      </c>
      <c r="D230" s="519">
        <f t="shared" ref="D230:E230" si="43">SUM(D229)</f>
        <v>0</v>
      </c>
      <c r="E230" s="519">
        <f t="shared" si="43"/>
        <v>0</v>
      </c>
      <c r="F230" s="519">
        <f>SUM(F229)</f>
        <v>0</v>
      </c>
      <c r="G230" s="519">
        <f t="shared" ref="G230:H230" si="44">SUM(G229)</f>
        <v>0</v>
      </c>
      <c r="H230" s="519">
        <f t="shared" si="44"/>
        <v>1087</v>
      </c>
      <c r="I230" s="528"/>
      <c r="J230" s="330"/>
    </row>
    <row r="231" spans="1:10" x14ac:dyDescent="0.25">
      <c r="A231" s="328"/>
      <c r="B231" s="328"/>
      <c r="C231" s="514"/>
      <c r="D231" s="514"/>
      <c r="E231" s="514"/>
      <c r="F231" s="514"/>
      <c r="G231" s="516"/>
      <c r="H231" s="516"/>
      <c r="I231" s="528"/>
      <c r="J231" s="330"/>
    </row>
    <row r="232" spans="1:10" x14ac:dyDescent="0.25">
      <c r="A232" s="332" t="s">
        <v>923</v>
      </c>
      <c r="B232" s="332" t="s">
        <v>924</v>
      </c>
      <c r="C232" s="514">
        <v>8288</v>
      </c>
      <c r="D232" s="514">
        <v>0</v>
      </c>
      <c r="E232" s="514">
        <v>25188</v>
      </c>
      <c r="F232" s="514">
        <v>9940</v>
      </c>
      <c r="G232" s="514">
        <v>0</v>
      </c>
      <c r="H232" s="514">
        <v>10389</v>
      </c>
      <c r="I232" s="528"/>
      <c r="J232" s="330"/>
    </row>
    <row r="233" spans="1:10" x14ac:dyDescent="0.25">
      <c r="A233" s="332" t="s">
        <v>2521</v>
      </c>
      <c r="B233" s="332" t="s">
        <v>929</v>
      </c>
      <c r="C233" s="514">
        <v>25</v>
      </c>
      <c r="D233" s="514">
        <v>0</v>
      </c>
      <c r="E233" s="514">
        <v>0</v>
      </c>
      <c r="F233" s="514">
        <v>30</v>
      </c>
      <c r="G233" s="514">
        <v>0</v>
      </c>
      <c r="H233" s="514">
        <v>0</v>
      </c>
      <c r="I233" s="528"/>
      <c r="J233" s="330"/>
    </row>
    <row r="234" spans="1:10" x14ac:dyDescent="0.25">
      <c r="A234" s="332" t="s">
        <v>925</v>
      </c>
      <c r="B234" s="332" t="s">
        <v>926</v>
      </c>
      <c r="C234" s="514">
        <v>0</v>
      </c>
      <c r="D234" s="514">
        <v>0</v>
      </c>
      <c r="E234" s="514">
        <v>0</v>
      </c>
      <c r="F234" s="514">
        <v>143</v>
      </c>
      <c r="G234" s="514">
        <v>0</v>
      </c>
      <c r="H234" s="514">
        <v>0</v>
      </c>
      <c r="I234" s="528"/>
      <c r="J234" s="330"/>
    </row>
    <row r="235" spans="1:10" x14ac:dyDescent="0.25">
      <c r="A235" s="332" t="s">
        <v>927</v>
      </c>
      <c r="B235" s="332" t="s">
        <v>928</v>
      </c>
      <c r="C235" s="514">
        <v>1647</v>
      </c>
      <c r="D235" s="514">
        <v>0</v>
      </c>
      <c r="E235" s="514">
        <v>0</v>
      </c>
      <c r="F235" s="514">
        <v>1722</v>
      </c>
      <c r="G235" s="514">
        <v>0</v>
      </c>
      <c r="H235" s="514">
        <v>0</v>
      </c>
      <c r="I235" s="528"/>
      <c r="J235" s="330"/>
    </row>
    <row r="236" spans="1:10" s="528" customFormat="1" x14ac:dyDescent="0.25">
      <c r="A236" s="567" t="s">
        <v>2519</v>
      </c>
      <c r="B236" s="567" t="s">
        <v>2520</v>
      </c>
      <c r="C236" s="514">
        <v>0</v>
      </c>
      <c r="D236" s="514">
        <v>0</v>
      </c>
      <c r="E236" s="514">
        <v>0</v>
      </c>
      <c r="F236" s="514">
        <v>143</v>
      </c>
      <c r="G236" s="514">
        <v>0</v>
      </c>
      <c r="H236" s="514">
        <v>0</v>
      </c>
    </row>
    <row r="237" spans="1:10" x14ac:dyDescent="0.25">
      <c r="A237" s="332" t="s">
        <v>930</v>
      </c>
      <c r="B237" s="332" t="s">
        <v>931</v>
      </c>
      <c r="C237" s="514">
        <v>5840</v>
      </c>
      <c r="D237" s="514">
        <v>0</v>
      </c>
      <c r="E237" s="514">
        <v>0</v>
      </c>
      <c r="F237" s="514">
        <v>2813</v>
      </c>
      <c r="G237" s="514">
        <v>0</v>
      </c>
      <c r="H237" s="514">
        <v>0</v>
      </c>
      <c r="I237" s="528"/>
      <c r="J237" s="330"/>
    </row>
    <row r="238" spans="1:10" x14ac:dyDescent="0.25">
      <c r="A238" s="332" t="s">
        <v>932</v>
      </c>
      <c r="B238" s="332" t="s">
        <v>933</v>
      </c>
      <c r="C238" s="514">
        <v>1283</v>
      </c>
      <c r="D238" s="514">
        <v>0</v>
      </c>
      <c r="E238" s="514">
        <v>0</v>
      </c>
      <c r="F238" s="514">
        <v>8</v>
      </c>
      <c r="G238" s="514">
        <v>0</v>
      </c>
      <c r="H238" s="514">
        <v>0</v>
      </c>
      <c r="I238" s="528"/>
      <c r="J238" s="330"/>
    </row>
    <row r="239" spans="1:10" x14ac:dyDescent="0.25">
      <c r="A239" s="328" t="s">
        <v>769</v>
      </c>
      <c r="B239" s="328"/>
      <c r="C239" s="519">
        <f t="shared" ref="C239:H239" si="45">SUM(C232:C238)</f>
        <v>17083</v>
      </c>
      <c r="D239" s="519">
        <f t="shared" si="45"/>
        <v>0</v>
      </c>
      <c r="E239" s="519">
        <f t="shared" si="45"/>
        <v>25188</v>
      </c>
      <c r="F239" s="519">
        <f t="shared" si="45"/>
        <v>14799</v>
      </c>
      <c r="G239" s="519">
        <f t="shared" si="45"/>
        <v>0</v>
      </c>
      <c r="H239" s="519">
        <f t="shared" si="45"/>
        <v>10389</v>
      </c>
      <c r="I239" s="528"/>
      <c r="J239" s="330"/>
    </row>
    <row r="240" spans="1:10" x14ac:dyDescent="0.25">
      <c r="A240" s="328"/>
      <c r="B240" s="328"/>
      <c r="C240" s="514"/>
      <c r="D240" s="514"/>
      <c r="E240" s="519"/>
      <c r="F240" s="514"/>
      <c r="G240" s="519"/>
      <c r="H240" s="519"/>
      <c r="I240" s="528"/>
      <c r="J240" s="330"/>
    </row>
    <row r="241" spans="1:17" s="528" customFormat="1" x14ac:dyDescent="0.25">
      <c r="A241" s="567" t="s">
        <v>920</v>
      </c>
      <c r="B241" s="567" t="s">
        <v>921</v>
      </c>
      <c r="C241" s="514">
        <v>5639</v>
      </c>
      <c r="D241" s="514">
        <v>3000</v>
      </c>
      <c r="E241" s="514">
        <v>2800</v>
      </c>
      <c r="F241" s="514">
        <v>2710</v>
      </c>
      <c r="G241" s="515">
        <v>2800</v>
      </c>
      <c r="H241" s="515">
        <v>0</v>
      </c>
      <c r="I241" s="551"/>
    </row>
    <row r="242" spans="1:17" x14ac:dyDescent="0.25">
      <c r="A242" s="328" t="s">
        <v>922</v>
      </c>
      <c r="B242" s="332"/>
      <c r="C242" s="519">
        <f>SUM(C241)</f>
        <v>5639</v>
      </c>
      <c r="D242" s="519">
        <f t="shared" ref="D242:E242" si="46">SUM(D241)</f>
        <v>3000</v>
      </c>
      <c r="E242" s="519">
        <f t="shared" si="46"/>
        <v>2800</v>
      </c>
      <c r="F242" s="519">
        <f>SUM(F241)</f>
        <v>2710</v>
      </c>
      <c r="G242" s="519">
        <f t="shared" ref="G242:H242" si="47">SUM(G241)</f>
        <v>2800</v>
      </c>
      <c r="H242" s="519">
        <f t="shared" si="47"/>
        <v>0</v>
      </c>
      <c r="I242" s="528"/>
      <c r="J242" s="330"/>
    </row>
    <row r="243" spans="1:17" x14ac:dyDescent="0.25">
      <c r="A243" s="328"/>
      <c r="B243" s="328"/>
      <c r="C243" s="514"/>
      <c r="D243" s="514"/>
      <c r="E243" s="514"/>
      <c r="F243" s="514"/>
      <c r="G243" s="516"/>
      <c r="H243" s="516"/>
      <c r="I243" s="528"/>
      <c r="J243" s="330"/>
    </row>
    <row r="244" spans="1:17" s="532" customFormat="1" x14ac:dyDescent="0.25">
      <c r="A244" s="541" t="s">
        <v>942</v>
      </c>
      <c r="B244" s="541"/>
      <c r="C244" s="538">
        <f t="shared" ref="C244:H244" si="48">SUM(C48+C58+C68+C78+C85+C95+C106+C133+C141+C149+C158+C166+C188+C191+C199+C206+C209+C218+C221+C224+C227+C230+C239+C242)</f>
        <v>635114</v>
      </c>
      <c r="D244" s="538">
        <f t="shared" si="48"/>
        <v>604036</v>
      </c>
      <c r="E244" s="538">
        <f t="shared" si="48"/>
        <v>715028</v>
      </c>
      <c r="F244" s="538">
        <f t="shared" si="48"/>
        <v>717219</v>
      </c>
      <c r="G244" s="538">
        <f t="shared" si="48"/>
        <v>650290</v>
      </c>
      <c r="H244" s="538">
        <f t="shared" si="48"/>
        <v>767633</v>
      </c>
    </row>
    <row r="245" spans="1:17" x14ac:dyDescent="0.25">
      <c r="A245" s="333"/>
      <c r="B245" s="333"/>
      <c r="C245" s="514"/>
      <c r="D245" s="514"/>
      <c r="E245" s="514"/>
      <c r="F245" s="514"/>
      <c r="G245" s="516"/>
      <c r="H245" s="516"/>
      <c r="I245" s="528"/>
      <c r="J245" s="528"/>
      <c r="K245" s="528"/>
      <c r="L245" s="528"/>
      <c r="M245" s="528"/>
      <c r="N245" s="528"/>
      <c r="O245" s="528"/>
      <c r="P245" s="528"/>
      <c r="Q245" s="528"/>
    </row>
    <row r="246" spans="1:17" s="540" customFormat="1" ht="15" x14ac:dyDescent="0.2">
      <c r="A246" s="542" t="s">
        <v>943</v>
      </c>
      <c r="B246" s="542" t="s">
        <v>944</v>
      </c>
      <c r="C246" s="539"/>
      <c r="D246" s="539">
        <f>SUM(D28*0.15)</f>
        <v>163207.66200000001</v>
      </c>
      <c r="E246" s="539">
        <f>SUM(E28*0.15)</f>
        <v>164850</v>
      </c>
      <c r="F246" s="539"/>
      <c r="G246" s="398">
        <f>SUM(G28*0.15)</f>
        <v>160497.9</v>
      </c>
      <c r="H246" s="398">
        <v>187070</v>
      </c>
    </row>
    <row r="247" spans="1:17" s="540" customFormat="1" ht="15" x14ac:dyDescent="0.2">
      <c r="A247" s="542"/>
      <c r="B247" s="542" t="s">
        <v>945</v>
      </c>
      <c r="C247" s="539"/>
      <c r="D247" s="539">
        <v>40000</v>
      </c>
      <c r="E247" s="539">
        <v>60000</v>
      </c>
      <c r="F247" s="539"/>
      <c r="G247" s="398">
        <v>36000</v>
      </c>
      <c r="H247" s="398">
        <v>27930</v>
      </c>
    </row>
    <row r="248" spans="1:17" s="540" customFormat="1" ht="15" x14ac:dyDescent="0.2">
      <c r="A248" s="542"/>
      <c r="B248" s="542" t="s">
        <v>946</v>
      </c>
      <c r="C248" s="539">
        <v>211665.36</v>
      </c>
      <c r="D248" s="539">
        <f>SUM(D246+D247)</f>
        <v>203207.66200000001</v>
      </c>
      <c r="E248" s="539">
        <f>SUM(E246+E247)</f>
        <v>224850</v>
      </c>
      <c r="F248" s="539">
        <v>169829</v>
      </c>
      <c r="G248" s="398">
        <f>SUM(G246+G247)</f>
        <v>196497.9</v>
      </c>
      <c r="H248" s="398">
        <f>SUM(H246+H247)</f>
        <v>215000</v>
      </c>
    </row>
    <row r="249" spans="1:17" s="399" customFormat="1" ht="15" x14ac:dyDescent="0.2">
      <c r="A249" s="333"/>
      <c r="B249" s="333"/>
      <c r="C249" s="514"/>
      <c r="D249" s="514"/>
      <c r="E249" s="514"/>
      <c r="F249" s="514"/>
      <c r="G249" s="516"/>
      <c r="H249" s="516"/>
      <c r="I249" s="540"/>
    </row>
    <row r="250" spans="1:17" x14ac:dyDescent="0.25">
      <c r="A250" s="332" t="s">
        <v>947</v>
      </c>
      <c r="B250" s="332" t="s">
        <v>948</v>
      </c>
      <c r="C250" s="514">
        <v>52690</v>
      </c>
      <c r="D250" s="514">
        <v>57120</v>
      </c>
      <c r="E250" s="514">
        <v>57120</v>
      </c>
      <c r="F250" s="514">
        <v>58073</v>
      </c>
      <c r="G250" s="522">
        <v>59234</v>
      </c>
      <c r="H250" s="522">
        <v>59234</v>
      </c>
      <c r="I250" s="528"/>
      <c r="J250" s="330"/>
    </row>
    <row r="251" spans="1:17" x14ac:dyDescent="0.25">
      <c r="A251" s="332" t="s">
        <v>949</v>
      </c>
      <c r="B251" s="332" t="s">
        <v>950</v>
      </c>
      <c r="C251" s="514">
        <v>42257</v>
      </c>
      <c r="D251" s="514">
        <v>36000</v>
      </c>
      <c r="E251" s="514">
        <v>30520</v>
      </c>
      <c r="F251" s="514">
        <v>32920</v>
      </c>
      <c r="G251" s="522">
        <v>37000</v>
      </c>
      <c r="H251" s="522">
        <v>37000</v>
      </c>
      <c r="I251" s="528"/>
      <c r="J251" s="400"/>
    </row>
    <row r="252" spans="1:17" x14ac:dyDescent="0.25">
      <c r="B252" s="332" t="s">
        <v>951</v>
      </c>
      <c r="C252" s="514">
        <v>12705</v>
      </c>
      <c r="D252" s="514">
        <v>0</v>
      </c>
      <c r="E252" s="514">
        <v>0</v>
      </c>
      <c r="F252" s="514">
        <v>0</v>
      </c>
      <c r="G252" s="514">
        <v>0</v>
      </c>
      <c r="H252" s="514">
        <v>0</v>
      </c>
      <c r="I252" s="553"/>
      <c r="J252" s="330"/>
    </row>
    <row r="253" spans="1:17" x14ac:dyDescent="0.25">
      <c r="A253" s="332" t="s">
        <v>952</v>
      </c>
      <c r="B253" s="332" t="s">
        <v>953</v>
      </c>
      <c r="C253" s="514">
        <v>1218</v>
      </c>
      <c r="D253" s="514">
        <v>1000</v>
      </c>
      <c r="E253" s="514">
        <v>14400</v>
      </c>
      <c r="F253" s="514">
        <v>14382</v>
      </c>
      <c r="G253" s="522">
        <v>12380</v>
      </c>
      <c r="H253" s="522">
        <v>12380</v>
      </c>
      <c r="I253" s="528"/>
      <c r="J253" s="330"/>
    </row>
    <row r="254" spans="1:17" x14ac:dyDescent="0.25">
      <c r="A254" s="332" t="s">
        <v>2254</v>
      </c>
      <c r="B254" s="332" t="s">
        <v>972</v>
      </c>
      <c r="C254" s="514">
        <v>158</v>
      </c>
      <c r="D254" s="514">
        <v>171</v>
      </c>
      <c r="E254" s="514">
        <v>171</v>
      </c>
      <c r="F254" s="514">
        <v>174</v>
      </c>
      <c r="G254" s="514">
        <v>178</v>
      </c>
      <c r="H254" s="514">
        <v>178</v>
      </c>
      <c r="I254" s="528"/>
      <c r="J254" s="330"/>
    </row>
    <row r="255" spans="1:17" x14ac:dyDescent="0.25">
      <c r="A255" s="332" t="s">
        <v>2255</v>
      </c>
      <c r="B255" s="332" t="s">
        <v>973</v>
      </c>
      <c r="C255" s="514">
        <v>124</v>
      </c>
      <c r="D255" s="514">
        <v>108</v>
      </c>
      <c r="E255" s="514">
        <v>92</v>
      </c>
      <c r="F255" s="514">
        <v>97</v>
      </c>
      <c r="G255" s="514">
        <v>111</v>
      </c>
      <c r="H255" s="514">
        <v>111</v>
      </c>
      <c r="I255" s="528"/>
      <c r="J255" s="330"/>
    </row>
    <row r="256" spans="1:17" x14ac:dyDescent="0.25">
      <c r="B256" s="332" t="s">
        <v>974</v>
      </c>
      <c r="C256" s="514">
        <v>41</v>
      </c>
      <c r="D256" s="514">
        <v>0</v>
      </c>
      <c r="E256" s="514">
        <v>0</v>
      </c>
      <c r="F256" s="514">
        <v>0</v>
      </c>
      <c r="G256" s="514">
        <v>0</v>
      </c>
      <c r="H256" s="514">
        <v>0</v>
      </c>
      <c r="I256" s="528"/>
      <c r="J256" s="330"/>
    </row>
    <row r="257" spans="1:10" s="331" customFormat="1" ht="15" x14ac:dyDescent="0.2">
      <c r="A257" s="332" t="s">
        <v>2256</v>
      </c>
      <c r="B257" s="332" t="s">
        <v>975</v>
      </c>
      <c r="C257" s="514">
        <v>3</v>
      </c>
      <c r="D257" s="514">
        <v>3</v>
      </c>
      <c r="E257" s="514">
        <v>43</v>
      </c>
      <c r="F257" s="514">
        <v>43</v>
      </c>
      <c r="G257" s="514">
        <v>37</v>
      </c>
      <c r="H257" s="514">
        <v>37</v>
      </c>
      <c r="I257" s="532"/>
    </row>
    <row r="258" spans="1:10" x14ac:dyDescent="0.25">
      <c r="A258" s="332" t="s">
        <v>954</v>
      </c>
      <c r="B258" s="332" t="s">
        <v>955</v>
      </c>
      <c r="C258" s="514">
        <v>764</v>
      </c>
      <c r="D258" s="514">
        <v>828</v>
      </c>
      <c r="E258" s="514">
        <v>828</v>
      </c>
      <c r="F258" s="514">
        <v>764</v>
      </c>
      <c r="G258" s="514">
        <v>859</v>
      </c>
      <c r="H258" s="514">
        <v>859</v>
      </c>
      <c r="I258" s="528"/>
      <c r="J258" s="330"/>
    </row>
    <row r="259" spans="1:10" x14ac:dyDescent="0.25">
      <c r="A259" s="332" t="s">
        <v>956</v>
      </c>
      <c r="B259" s="332" t="s">
        <v>957</v>
      </c>
      <c r="C259" s="514">
        <v>597</v>
      </c>
      <c r="D259" s="514">
        <v>522</v>
      </c>
      <c r="E259" s="514">
        <v>443</v>
      </c>
      <c r="F259" s="514">
        <v>469</v>
      </c>
      <c r="G259" s="514">
        <v>537</v>
      </c>
      <c r="H259" s="514">
        <v>537</v>
      </c>
      <c r="I259" s="528"/>
      <c r="J259" s="330"/>
    </row>
    <row r="260" spans="1:10" x14ac:dyDescent="0.25">
      <c r="B260" s="332" t="s">
        <v>958</v>
      </c>
      <c r="C260" s="514">
        <v>196</v>
      </c>
      <c r="D260" s="514">
        <v>0</v>
      </c>
      <c r="E260" s="514">
        <v>0</v>
      </c>
      <c r="F260" s="514">
        <v>0</v>
      </c>
      <c r="G260" s="514">
        <v>0</v>
      </c>
      <c r="H260" s="514">
        <v>0</v>
      </c>
      <c r="I260" s="528"/>
      <c r="J260" s="330"/>
    </row>
    <row r="261" spans="1:10" x14ac:dyDescent="0.25">
      <c r="A261" s="332" t="s">
        <v>959</v>
      </c>
      <c r="B261" s="332" t="s">
        <v>960</v>
      </c>
      <c r="C261" s="514">
        <v>18</v>
      </c>
      <c r="D261" s="514">
        <v>15</v>
      </c>
      <c r="E261" s="514">
        <v>209</v>
      </c>
      <c r="F261" s="514">
        <v>207</v>
      </c>
      <c r="G261" s="514">
        <v>180</v>
      </c>
      <c r="H261" s="514">
        <v>180</v>
      </c>
      <c r="I261" s="528"/>
      <c r="J261" s="330"/>
    </row>
    <row r="262" spans="1:10" x14ac:dyDescent="0.25">
      <c r="A262" s="332" t="s">
        <v>961</v>
      </c>
      <c r="B262" s="332" t="s">
        <v>962</v>
      </c>
      <c r="C262" s="514">
        <v>10480</v>
      </c>
      <c r="D262" s="514">
        <v>11510</v>
      </c>
      <c r="E262" s="514">
        <v>11510</v>
      </c>
      <c r="F262" s="514">
        <v>11702</v>
      </c>
      <c r="G262" s="515">
        <v>12084</v>
      </c>
      <c r="H262" s="515">
        <v>12084</v>
      </c>
      <c r="I262" s="528"/>
      <c r="J262" s="330"/>
    </row>
    <row r="263" spans="1:10" x14ac:dyDescent="0.25">
      <c r="A263" s="332" t="s">
        <v>963</v>
      </c>
      <c r="B263" s="332" t="s">
        <v>964</v>
      </c>
      <c r="C263" s="514">
        <v>8171</v>
      </c>
      <c r="D263" s="514">
        <v>7254</v>
      </c>
      <c r="E263" s="514">
        <v>6150</v>
      </c>
      <c r="F263" s="514">
        <v>6482</v>
      </c>
      <c r="G263" s="515">
        <v>7548</v>
      </c>
      <c r="H263" s="515">
        <v>7548</v>
      </c>
      <c r="I263" s="528"/>
      <c r="J263" s="330"/>
    </row>
    <row r="264" spans="1:10" x14ac:dyDescent="0.25">
      <c r="B264" s="332" t="s">
        <v>965</v>
      </c>
      <c r="C264" s="514">
        <v>2704</v>
      </c>
      <c r="D264" s="514">
        <v>0</v>
      </c>
      <c r="E264" s="514">
        <v>0</v>
      </c>
      <c r="F264" s="514">
        <v>0</v>
      </c>
      <c r="G264" s="514">
        <v>0</v>
      </c>
      <c r="H264" s="514">
        <v>0</v>
      </c>
      <c r="I264" s="528"/>
      <c r="J264" s="330"/>
    </row>
    <row r="265" spans="1:10" x14ac:dyDescent="0.25">
      <c r="A265" s="332" t="s">
        <v>966</v>
      </c>
      <c r="B265" s="332" t="s">
        <v>967</v>
      </c>
      <c r="C265" s="514">
        <v>216</v>
      </c>
      <c r="D265" s="514">
        <v>202</v>
      </c>
      <c r="E265" s="514">
        <v>2902</v>
      </c>
      <c r="F265" s="514">
        <v>2877</v>
      </c>
      <c r="G265" s="515">
        <v>2526</v>
      </c>
      <c r="H265" s="515">
        <v>2526</v>
      </c>
      <c r="I265" s="528"/>
      <c r="J265" s="330"/>
    </row>
    <row r="266" spans="1:10" x14ac:dyDescent="0.25">
      <c r="A266" s="332" t="s">
        <v>2257</v>
      </c>
      <c r="B266" s="332" t="s">
        <v>968</v>
      </c>
      <c r="C266" s="514">
        <v>5747</v>
      </c>
      <c r="D266" s="514">
        <v>6000</v>
      </c>
      <c r="E266" s="514">
        <v>6000</v>
      </c>
      <c r="F266" s="514">
        <v>5968</v>
      </c>
      <c r="G266" s="514">
        <v>6000</v>
      </c>
      <c r="H266" s="514">
        <v>6170</v>
      </c>
      <c r="I266" s="528"/>
      <c r="J266" s="330"/>
    </row>
    <row r="267" spans="1:10" x14ac:dyDescent="0.25">
      <c r="A267" s="332" t="s">
        <v>2258</v>
      </c>
      <c r="B267" s="332" t="s">
        <v>969</v>
      </c>
      <c r="C267" s="514">
        <v>7665</v>
      </c>
      <c r="D267" s="514">
        <v>0</v>
      </c>
      <c r="E267" s="514">
        <v>6000</v>
      </c>
      <c r="F267" s="514">
        <v>6488</v>
      </c>
      <c r="G267" s="514">
        <v>6000</v>
      </c>
      <c r="H267" s="514">
        <v>6170</v>
      </c>
      <c r="I267" s="528"/>
      <c r="J267" s="330"/>
    </row>
    <row r="268" spans="1:10" x14ac:dyDescent="0.25">
      <c r="B268" s="332" t="s">
        <v>970</v>
      </c>
      <c r="C268" s="514">
        <v>478</v>
      </c>
      <c r="D268" s="514">
        <v>0</v>
      </c>
      <c r="E268" s="514">
        <v>0</v>
      </c>
      <c r="F268" s="514">
        <v>0</v>
      </c>
      <c r="G268" s="514">
        <v>0</v>
      </c>
      <c r="H268" s="514">
        <v>0</v>
      </c>
      <c r="I268" s="528"/>
      <c r="J268" s="330"/>
    </row>
    <row r="269" spans="1:10" x14ac:dyDescent="0.25">
      <c r="A269" s="332" t="s">
        <v>2259</v>
      </c>
      <c r="B269" s="332" t="s">
        <v>971</v>
      </c>
      <c r="C269" s="514">
        <v>0</v>
      </c>
      <c r="D269" s="514">
        <v>0</v>
      </c>
      <c r="E269" s="514">
        <v>0</v>
      </c>
      <c r="F269" s="514">
        <v>0</v>
      </c>
      <c r="G269" s="514">
        <v>0</v>
      </c>
      <c r="H269" s="514">
        <v>0</v>
      </c>
      <c r="I269" s="528"/>
      <c r="J269" s="330"/>
    </row>
    <row r="270" spans="1:10" x14ac:dyDescent="0.25">
      <c r="A270" s="332" t="s">
        <v>976</v>
      </c>
      <c r="B270" s="332" t="s">
        <v>977</v>
      </c>
      <c r="C270" s="514">
        <v>3714</v>
      </c>
      <c r="D270" s="514">
        <v>2500</v>
      </c>
      <c r="E270" s="514">
        <v>4000</v>
      </c>
      <c r="F270" s="514">
        <v>5172</v>
      </c>
      <c r="G270" s="514">
        <v>4000</v>
      </c>
      <c r="H270" s="514">
        <v>4000</v>
      </c>
      <c r="I270" s="528"/>
      <c r="J270" s="330"/>
    </row>
    <row r="271" spans="1:10" x14ac:dyDescent="0.25">
      <c r="A271" s="332" t="s">
        <v>978</v>
      </c>
      <c r="B271" s="332" t="s">
        <v>979</v>
      </c>
      <c r="C271" s="514">
        <v>7104</v>
      </c>
      <c r="D271" s="514">
        <v>3500</v>
      </c>
      <c r="E271" s="514">
        <v>8000</v>
      </c>
      <c r="F271" s="514">
        <v>9780</v>
      </c>
      <c r="G271" s="515">
        <v>3600</v>
      </c>
      <c r="H271" s="515">
        <v>8500</v>
      </c>
      <c r="I271" s="528"/>
      <c r="J271" s="330"/>
    </row>
    <row r="272" spans="1:10" s="399" customFormat="1" ht="15" x14ac:dyDescent="0.2">
      <c r="A272" s="332" t="s">
        <v>980</v>
      </c>
      <c r="B272" s="332" t="s">
        <v>981</v>
      </c>
      <c r="C272" s="514">
        <v>14800</v>
      </c>
      <c r="D272" s="514">
        <v>12000</v>
      </c>
      <c r="E272" s="514">
        <v>12000</v>
      </c>
      <c r="F272" s="514">
        <v>13491</v>
      </c>
      <c r="G272" s="515">
        <v>13400</v>
      </c>
      <c r="H272" s="515">
        <v>13800</v>
      </c>
      <c r="I272" s="540"/>
    </row>
    <row r="273" spans="1:10" s="331" customFormat="1" ht="15" x14ac:dyDescent="0.2">
      <c r="A273" s="332" t="s">
        <v>982</v>
      </c>
      <c r="B273" s="332" t="s">
        <v>983</v>
      </c>
      <c r="C273" s="514">
        <v>371</v>
      </c>
      <c r="D273" s="514">
        <v>400</v>
      </c>
      <c r="E273" s="514">
        <v>400</v>
      </c>
      <c r="F273" s="514">
        <v>200</v>
      </c>
      <c r="G273" s="515">
        <v>400</v>
      </c>
      <c r="H273" s="515">
        <v>400</v>
      </c>
      <c r="I273" s="532"/>
    </row>
    <row r="274" spans="1:10" x14ac:dyDescent="0.25">
      <c r="A274" s="332" t="s">
        <v>984</v>
      </c>
      <c r="B274" s="332" t="s">
        <v>985</v>
      </c>
      <c r="C274" s="514">
        <v>1168</v>
      </c>
      <c r="D274" s="514">
        <v>500</v>
      </c>
      <c r="E274" s="514">
        <v>1000</v>
      </c>
      <c r="F274" s="514">
        <v>2360</v>
      </c>
      <c r="G274" s="514">
        <v>1000</v>
      </c>
      <c r="H274" s="514">
        <v>2000</v>
      </c>
      <c r="I274" s="528"/>
      <c r="J274" s="330"/>
    </row>
    <row r="275" spans="1:10" x14ac:dyDescent="0.25">
      <c r="A275" s="332" t="s">
        <v>986</v>
      </c>
      <c r="B275" s="332" t="s">
        <v>987</v>
      </c>
      <c r="C275" s="514">
        <v>0</v>
      </c>
      <c r="D275" s="514">
        <v>250</v>
      </c>
      <c r="E275" s="514">
        <v>0</v>
      </c>
      <c r="F275" s="514">
        <v>0</v>
      </c>
      <c r="G275" s="514">
        <v>0</v>
      </c>
      <c r="H275" s="514">
        <v>0</v>
      </c>
      <c r="I275" s="528"/>
      <c r="J275" s="330"/>
    </row>
    <row r="276" spans="1:10" x14ac:dyDescent="0.25">
      <c r="A276" s="332" t="s">
        <v>988</v>
      </c>
      <c r="B276" s="332" t="s">
        <v>989</v>
      </c>
      <c r="C276" s="514">
        <v>3976</v>
      </c>
      <c r="D276" s="514">
        <v>3500</v>
      </c>
      <c r="E276" s="514">
        <v>4000</v>
      </c>
      <c r="F276" s="514">
        <v>3032</v>
      </c>
      <c r="G276" s="515">
        <v>3500</v>
      </c>
      <c r="H276" s="515">
        <v>4000</v>
      </c>
      <c r="I276" s="528"/>
      <c r="J276" s="330"/>
    </row>
    <row r="277" spans="1:10" x14ac:dyDescent="0.25">
      <c r="A277" s="332" t="s">
        <v>990</v>
      </c>
      <c r="B277" s="332" t="s">
        <v>424</v>
      </c>
      <c r="C277" s="514">
        <v>0</v>
      </c>
      <c r="D277" s="514">
        <v>0</v>
      </c>
      <c r="E277" s="514">
        <v>0</v>
      </c>
      <c r="F277" s="514">
        <v>0</v>
      </c>
      <c r="G277" s="514">
        <v>0</v>
      </c>
      <c r="H277" s="514">
        <v>0</v>
      </c>
      <c r="I277" s="528"/>
      <c r="J277" s="330"/>
    </row>
    <row r="278" spans="1:10" x14ac:dyDescent="0.25">
      <c r="A278" s="332" t="s">
        <v>991</v>
      </c>
      <c r="B278" s="332" t="s">
        <v>992</v>
      </c>
      <c r="C278" s="514">
        <v>326</v>
      </c>
      <c r="D278" s="514">
        <v>500</v>
      </c>
      <c r="E278" s="514">
        <v>500</v>
      </c>
      <c r="F278" s="514">
        <v>319</v>
      </c>
      <c r="G278" s="515">
        <v>300</v>
      </c>
      <c r="H278" s="515">
        <v>500</v>
      </c>
      <c r="I278" s="528"/>
      <c r="J278" s="330"/>
    </row>
    <row r="279" spans="1:10" s="528" customFormat="1" x14ac:dyDescent="0.25">
      <c r="A279" s="541" t="s">
        <v>993</v>
      </c>
      <c r="B279" s="543"/>
      <c r="C279" s="392">
        <f t="shared" ref="C279:H279" si="49">SUM(C250:C278)</f>
        <v>177691</v>
      </c>
      <c r="D279" s="392">
        <f t="shared" si="49"/>
        <v>143883</v>
      </c>
      <c r="E279" s="392">
        <f t="shared" si="49"/>
        <v>166288</v>
      </c>
      <c r="F279" s="392">
        <f t="shared" si="49"/>
        <v>175000</v>
      </c>
      <c r="G279" s="392">
        <f t="shared" si="49"/>
        <v>170874</v>
      </c>
      <c r="H279" s="392">
        <f t="shared" si="49"/>
        <v>178214</v>
      </c>
    </row>
    <row r="280" spans="1:10" s="331" customFormat="1" x14ac:dyDescent="0.25">
      <c r="A280" s="328"/>
      <c r="B280" s="328"/>
      <c r="C280" s="514"/>
      <c r="D280" s="514"/>
      <c r="E280" s="514"/>
      <c r="F280" s="514"/>
      <c r="G280" s="516"/>
      <c r="H280" s="516"/>
      <c r="I280" s="532"/>
    </row>
    <row r="281" spans="1:10" x14ac:dyDescent="0.25">
      <c r="A281" s="332" t="s">
        <v>994</v>
      </c>
      <c r="B281" s="332" t="s">
        <v>995</v>
      </c>
      <c r="C281" s="514">
        <v>674</v>
      </c>
      <c r="D281" s="514">
        <v>800</v>
      </c>
      <c r="E281" s="514">
        <v>800</v>
      </c>
      <c r="F281" s="514">
        <v>667</v>
      </c>
      <c r="G281" s="515">
        <v>700</v>
      </c>
      <c r="H281" s="515">
        <v>700</v>
      </c>
      <c r="I281" s="528"/>
      <c r="J281" s="330"/>
    </row>
    <row r="282" spans="1:10" x14ac:dyDescent="0.25">
      <c r="A282" s="332" t="s">
        <v>996</v>
      </c>
      <c r="B282" s="332" t="s">
        <v>997</v>
      </c>
      <c r="C282" s="514">
        <v>2930</v>
      </c>
      <c r="D282" s="514">
        <v>4000</v>
      </c>
      <c r="E282" s="514">
        <v>4000</v>
      </c>
      <c r="F282" s="514">
        <v>2118</v>
      </c>
      <c r="G282" s="515">
        <v>4500</v>
      </c>
      <c r="H282" s="515">
        <v>7500</v>
      </c>
      <c r="I282" s="528"/>
      <c r="J282" s="330"/>
    </row>
    <row r="283" spans="1:10" x14ac:dyDescent="0.25">
      <c r="A283" s="332" t="s">
        <v>998</v>
      </c>
      <c r="B283" s="332" t="s">
        <v>999</v>
      </c>
      <c r="C283" s="514">
        <v>6500</v>
      </c>
      <c r="D283" s="514">
        <v>6500</v>
      </c>
      <c r="E283" s="514">
        <v>6500</v>
      </c>
      <c r="F283" s="514">
        <v>6600</v>
      </c>
      <c r="G283" s="515">
        <v>6600</v>
      </c>
      <c r="H283" s="515">
        <v>6600</v>
      </c>
      <c r="I283" s="528"/>
      <c r="J283" s="330"/>
    </row>
    <row r="284" spans="1:10" x14ac:dyDescent="0.25">
      <c r="A284" s="332" t="s">
        <v>1000</v>
      </c>
      <c r="B284" s="332" t="s">
        <v>1001</v>
      </c>
      <c r="C284" s="514">
        <v>1775</v>
      </c>
      <c r="D284" s="514">
        <v>5000</v>
      </c>
      <c r="E284" s="514">
        <v>5000</v>
      </c>
      <c r="F284" s="514">
        <v>3071</v>
      </c>
      <c r="G284" s="515">
        <v>3500</v>
      </c>
      <c r="H284" s="515">
        <v>3500</v>
      </c>
      <c r="I284" s="528"/>
      <c r="J284" s="330"/>
    </row>
    <row r="285" spans="1:10" x14ac:dyDescent="0.25">
      <c r="A285" s="332" t="s">
        <v>1002</v>
      </c>
      <c r="B285" s="332" t="s">
        <v>1003</v>
      </c>
      <c r="C285" s="514">
        <v>3597</v>
      </c>
      <c r="D285" s="514">
        <v>5000</v>
      </c>
      <c r="E285" s="514">
        <v>5000</v>
      </c>
      <c r="F285" s="514">
        <v>5119</v>
      </c>
      <c r="G285" s="515">
        <v>4400</v>
      </c>
      <c r="H285" s="515">
        <v>5500</v>
      </c>
      <c r="I285" s="528"/>
      <c r="J285" s="330"/>
    </row>
    <row r="286" spans="1:10" s="532" customFormat="1" x14ac:dyDescent="0.25">
      <c r="A286" s="541" t="s">
        <v>1004</v>
      </c>
      <c r="B286" s="541"/>
      <c r="C286" s="393">
        <f>SUM(C281:C285)</f>
        <v>15476</v>
      </c>
      <c r="D286" s="393">
        <f t="shared" ref="D286:E286" si="50">SUM(D281:D285)</f>
        <v>21300</v>
      </c>
      <c r="E286" s="393">
        <f t="shared" si="50"/>
        <v>21300</v>
      </c>
      <c r="F286" s="393">
        <f>SUM(F281:F285)</f>
        <v>17575</v>
      </c>
      <c r="G286" s="401">
        <f t="shared" ref="G286" si="51">SUM(G281:G285)</f>
        <v>19700</v>
      </c>
      <c r="H286" s="401">
        <f t="shared" ref="H286" si="52">SUM(H281:H285)</f>
        <v>23800</v>
      </c>
    </row>
    <row r="287" spans="1:10" s="331" customFormat="1" x14ac:dyDescent="0.25">
      <c r="A287" s="328"/>
      <c r="B287" s="328"/>
      <c r="C287" s="514"/>
      <c r="D287" s="514"/>
      <c r="E287" s="514"/>
      <c r="F287" s="514"/>
      <c r="G287" s="516"/>
      <c r="H287" s="516"/>
      <c r="I287" s="532"/>
    </row>
    <row r="288" spans="1:10" x14ac:dyDescent="0.25">
      <c r="A288" s="332" t="s">
        <v>1005</v>
      </c>
      <c r="B288" s="332" t="s">
        <v>1006</v>
      </c>
      <c r="C288" s="514">
        <v>0</v>
      </c>
      <c r="D288" s="514">
        <v>0</v>
      </c>
      <c r="E288" s="514">
        <v>0</v>
      </c>
      <c r="F288" s="514">
        <v>13929</v>
      </c>
      <c r="G288" s="514">
        <v>0</v>
      </c>
      <c r="H288" s="514">
        <v>0</v>
      </c>
      <c r="I288" s="528"/>
      <c r="J288" s="330"/>
    </row>
    <row r="289" spans="1:10" x14ac:dyDescent="0.25">
      <c r="A289" s="332" t="s">
        <v>1007</v>
      </c>
      <c r="B289" s="332" t="s">
        <v>1008</v>
      </c>
      <c r="C289" s="514">
        <v>20194</v>
      </c>
      <c r="D289" s="514">
        <v>15000</v>
      </c>
      <c r="E289" s="514">
        <v>25000</v>
      </c>
      <c r="F289" s="514">
        <v>8044</v>
      </c>
      <c r="G289" s="514">
        <v>25000</v>
      </c>
      <c r="H289" s="514">
        <v>24980</v>
      </c>
      <c r="I289" s="534"/>
      <c r="J289" s="330"/>
    </row>
    <row r="290" spans="1:10" x14ac:dyDescent="0.25">
      <c r="A290" s="332" t="s">
        <v>2260</v>
      </c>
      <c r="B290" s="332" t="s">
        <v>1014</v>
      </c>
      <c r="C290" s="514">
        <v>61</v>
      </c>
      <c r="D290" s="514">
        <v>45</v>
      </c>
      <c r="E290" s="514">
        <v>75</v>
      </c>
      <c r="F290" s="514">
        <v>66</v>
      </c>
      <c r="G290" s="514">
        <v>75</v>
      </c>
      <c r="H290" s="514">
        <v>75</v>
      </c>
      <c r="I290" s="528"/>
      <c r="J290" s="330"/>
    </row>
    <row r="291" spans="1:10" x14ac:dyDescent="0.25">
      <c r="A291" s="332" t="s">
        <v>1010</v>
      </c>
      <c r="B291" s="332" t="s">
        <v>1011</v>
      </c>
      <c r="C291" s="514">
        <v>290</v>
      </c>
      <c r="D291" s="514">
        <v>218</v>
      </c>
      <c r="E291" s="514">
        <v>363</v>
      </c>
      <c r="F291" s="514">
        <v>318</v>
      </c>
      <c r="G291" s="514">
        <v>363</v>
      </c>
      <c r="H291" s="514">
        <v>362</v>
      </c>
      <c r="I291" s="528"/>
      <c r="J291" s="330"/>
    </row>
    <row r="292" spans="1:10" x14ac:dyDescent="0.25">
      <c r="A292" s="332" t="s">
        <v>1012</v>
      </c>
      <c r="B292" s="332" t="s">
        <v>1013</v>
      </c>
      <c r="C292" s="514">
        <v>3972</v>
      </c>
      <c r="D292" s="514">
        <v>3023</v>
      </c>
      <c r="E292" s="514">
        <v>5038</v>
      </c>
      <c r="F292" s="514">
        <v>4353</v>
      </c>
      <c r="G292" s="515">
        <v>5100</v>
      </c>
      <c r="H292" s="515">
        <v>5096</v>
      </c>
      <c r="I292" s="528"/>
      <c r="J292" s="330"/>
    </row>
    <row r="293" spans="1:10" x14ac:dyDescent="0.25">
      <c r="A293" s="332" t="s">
        <v>2685</v>
      </c>
      <c r="B293" s="332" t="s">
        <v>1009</v>
      </c>
      <c r="C293" s="514">
        <v>0</v>
      </c>
      <c r="D293" s="514">
        <v>0</v>
      </c>
      <c r="E293" s="514">
        <v>0</v>
      </c>
      <c r="F293" s="514">
        <v>0</v>
      </c>
      <c r="G293" s="514">
        <v>0</v>
      </c>
      <c r="H293" s="514">
        <v>6170</v>
      </c>
      <c r="I293" s="528"/>
      <c r="J293" s="330"/>
    </row>
    <row r="294" spans="1:10" x14ac:dyDescent="0.25">
      <c r="A294" s="332" t="s">
        <v>1015</v>
      </c>
      <c r="B294" s="332" t="s">
        <v>1016</v>
      </c>
      <c r="C294" s="514">
        <v>15869</v>
      </c>
      <c r="D294" s="514">
        <v>8000</v>
      </c>
      <c r="E294" s="514">
        <v>8000</v>
      </c>
      <c r="F294" s="514">
        <v>10642</v>
      </c>
      <c r="G294" s="514">
        <v>8000</v>
      </c>
      <c r="H294" s="514">
        <v>10000</v>
      </c>
      <c r="I294" s="528"/>
      <c r="J294" s="330"/>
    </row>
    <row r="295" spans="1:10" x14ac:dyDescent="0.25">
      <c r="A295" s="332" t="s">
        <v>1017</v>
      </c>
      <c r="B295" s="332" t="s">
        <v>1018</v>
      </c>
      <c r="C295" s="514">
        <v>0</v>
      </c>
      <c r="D295" s="514">
        <v>0</v>
      </c>
      <c r="E295" s="514">
        <v>0</v>
      </c>
      <c r="F295" s="514">
        <v>0</v>
      </c>
      <c r="G295" s="514">
        <v>0</v>
      </c>
      <c r="H295" s="514">
        <v>0</v>
      </c>
      <c r="I295" s="528"/>
      <c r="J295" s="330"/>
    </row>
    <row r="296" spans="1:10" x14ac:dyDescent="0.25">
      <c r="A296" s="332" t="s">
        <v>1019</v>
      </c>
      <c r="B296" s="332" t="s">
        <v>1020</v>
      </c>
      <c r="C296" s="514">
        <v>2940</v>
      </c>
      <c r="D296" s="514">
        <v>3000</v>
      </c>
      <c r="E296" s="514">
        <v>3000</v>
      </c>
      <c r="F296" s="514">
        <v>2761</v>
      </c>
      <c r="G296" s="514">
        <v>3200</v>
      </c>
      <c r="H296" s="514">
        <v>3200</v>
      </c>
      <c r="I296" s="528"/>
      <c r="J296" s="330"/>
    </row>
    <row r="297" spans="1:10" x14ac:dyDescent="0.25">
      <c r="A297" s="332" t="s">
        <v>1021</v>
      </c>
      <c r="B297" s="332" t="s">
        <v>1022</v>
      </c>
      <c r="C297" s="514">
        <v>3582</v>
      </c>
      <c r="D297" s="514">
        <v>3400</v>
      </c>
      <c r="E297" s="514">
        <v>4000</v>
      </c>
      <c r="F297" s="514">
        <v>2745</v>
      </c>
      <c r="G297" s="514">
        <v>3200</v>
      </c>
      <c r="H297" s="514">
        <v>6700</v>
      </c>
      <c r="I297" s="534"/>
      <c r="J297" s="330"/>
    </row>
    <row r="298" spans="1:10" x14ac:dyDescent="0.25">
      <c r="A298" s="332" t="s">
        <v>1023</v>
      </c>
      <c r="B298" s="332" t="s">
        <v>1024</v>
      </c>
      <c r="C298" s="514">
        <v>5600</v>
      </c>
      <c r="D298" s="514">
        <v>9000</v>
      </c>
      <c r="E298" s="514">
        <v>0</v>
      </c>
      <c r="F298" s="514">
        <v>0</v>
      </c>
      <c r="G298" s="514">
        <v>0</v>
      </c>
      <c r="H298" s="514">
        <v>0</v>
      </c>
      <c r="I298" s="528"/>
      <c r="J298" s="330"/>
    </row>
    <row r="299" spans="1:10" x14ac:dyDescent="0.25">
      <c r="A299" s="332" t="s">
        <v>1025</v>
      </c>
      <c r="B299" s="332" t="s">
        <v>1026</v>
      </c>
      <c r="C299" s="514">
        <v>1825</v>
      </c>
      <c r="D299" s="514">
        <v>3000</v>
      </c>
      <c r="E299" s="514">
        <v>4000</v>
      </c>
      <c r="F299" s="514">
        <v>5375</v>
      </c>
      <c r="G299" s="514">
        <v>3100</v>
      </c>
      <c r="H299" s="514">
        <v>3100</v>
      </c>
      <c r="I299" s="528"/>
      <c r="J299" s="330"/>
    </row>
    <row r="300" spans="1:10" x14ac:dyDescent="0.25">
      <c r="A300" s="332" t="s">
        <v>1027</v>
      </c>
      <c r="B300" s="332" t="s">
        <v>1028</v>
      </c>
      <c r="C300" s="514">
        <v>2926</v>
      </c>
      <c r="D300" s="514">
        <v>3000</v>
      </c>
      <c r="E300" s="514">
        <v>3000</v>
      </c>
      <c r="F300" s="514">
        <v>960</v>
      </c>
      <c r="G300" s="514">
        <v>3000</v>
      </c>
      <c r="H300" s="514">
        <v>3000</v>
      </c>
      <c r="I300" s="528"/>
      <c r="J300" s="330"/>
    </row>
    <row r="301" spans="1:10" x14ac:dyDescent="0.25">
      <c r="A301" s="332" t="s">
        <v>1029</v>
      </c>
      <c r="B301" s="332" t="s">
        <v>1030</v>
      </c>
      <c r="C301" s="514">
        <v>2116</v>
      </c>
      <c r="D301" s="514">
        <v>3000</v>
      </c>
      <c r="E301" s="514">
        <v>2500</v>
      </c>
      <c r="F301" s="514">
        <v>2813</v>
      </c>
      <c r="G301" s="514">
        <v>2500</v>
      </c>
      <c r="H301" s="514">
        <v>3000</v>
      </c>
      <c r="I301" s="528"/>
      <c r="J301" s="330"/>
    </row>
    <row r="302" spans="1:10" x14ac:dyDescent="0.25">
      <c r="A302" s="332" t="s">
        <v>1031</v>
      </c>
      <c r="B302" s="332" t="s">
        <v>1032</v>
      </c>
      <c r="C302" s="514">
        <v>1187</v>
      </c>
      <c r="D302" s="514">
        <v>3500</v>
      </c>
      <c r="E302" s="514">
        <v>2500</v>
      </c>
      <c r="F302" s="514">
        <v>2639</v>
      </c>
      <c r="G302" s="514">
        <v>2500</v>
      </c>
      <c r="H302" s="514">
        <v>3000</v>
      </c>
      <c r="I302" s="528"/>
      <c r="J302" s="330"/>
    </row>
    <row r="303" spans="1:10" x14ac:dyDescent="0.25">
      <c r="A303" s="332" t="s">
        <v>1031</v>
      </c>
      <c r="B303" s="332" t="s">
        <v>1032</v>
      </c>
      <c r="C303" s="514">
        <v>0</v>
      </c>
      <c r="D303" s="514">
        <v>0</v>
      </c>
      <c r="E303" s="514">
        <v>0</v>
      </c>
      <c r="F303" s="514">
        <v>26000</v>
      </c>
      <c r="G303" s="514">
        <v>0</v>
      </c>
      <c r="H303" s="514">
        <v>0</v>
      </c>
      <c r="I303" s="528"/>
      <c r="J303" s="330"/>
    </row>
    <row r="304" spans="1:10" s="532" customFormat="1" x14ac:dyDescent="0.25">
      <c r="A304" s="541" t="s">
        <v>1033</v>
      </c>
      <c r="B304" s="541"/>
      <c r="C304" s="393">
        <f t="shared" ref="C304:H304" si="53">SUM(C288:C303)</f>
        <v>60562</v>
      </c>
      <c r="D304" s="393">
        <f t="shared" si="53"/>
        <v>54186</v>
      </c>
      <c r="E304" s="393">
        <f t="shared" si="53"/>
        <v>57476</v>
      </c>
      <c r="F304" s="393">
        <f t="shared" si="53"/>
        <v>80645</v>
      </c>
      <c r="G304" s="393">
        <f t="shared" si="53"/>
        <v>56038</v>
      </c>
      <c r="H304" s="393">
        <f t="shared" si="53"/>
        <v>68683</v>
      </c>
    </row>
    <row r="305" spans="1:10" x14ac:dyDescent="0.25">
      <c r="B305" s="332"/>
      <c r="C305" s="514"/>
      <c r="D305" s="514"/>
      <c r="E305" s="514"/>
      <c r="F305" s="514"/>
      <c r="G305" s="516"/>
      <c r="H305" s="516"/>
      <c r="I305" s="528"/>
      <c r="J305" s="330"/>
    </row>
    <row r="306" spans="1:10" x14ac:dyDescent="0.25">
      <c r="A306" s="332" t="s">
        <v>1034</v>
      </c>
      <c r="B306" s="332" t="s">
        <v>1035</v>
      </c>
      <c r="C306" s="514">
        <v>3090</v>
      </c>
      <c r="D306" s="514">
        <v>2500</v>
      </c>
      <c r="E306" s="514">
        <v>2000</v>
      </c>
      <c r="F306" s="514">
        <v>575</v>
      </c>
      <c r="G306" s="514">
        <v>1200</v>
      </c>
      <c r="H306" s="514">
        <v>2700</v>
      </c>
      <c r="I306" s="528"/>
      <c r="J306" s="330"/>
    </row>
    <row r="307" spans="1:10" x14ac:dyDescent="0.25">
      <c r="A307" s="332" t="s">
        <v>1036</v>
      </c>
      <c r="B307" s="332" t="s">
        <v>1037</v>
      </c>
      <c r="C307" s="514">
        <v>0</v>
      </c>
      <c r="D307" s="514">
        <v>0</v>
      </c>
      <c r="E307" s="514">
        <v>0</v>
      </c>
      <c r="F307" s="514">
        <v>0</v>
      </c>
      <c r="G307" s="514">
        <v>0</v>
      </c>
      <c r="H307" s="514">
        <v>0</v>
      </c>
      <c r="I307" s="528"/>
      <c r="J307" s="330"/>
    </row>
    <row r="308" spans="1:10" x14ac:dyDescent="0.25">
      <c r="A308" s="332" t="s">
        <v>1038</v>
      </c>
      <c r="B308" s="332" t="s">
        <v>1039</v>
      </c>
      <c r="C308" s="514">
        <v>0</v>
      </c>
      <c r="D308" s="514">
        <v>0</v>
      </c>
      <c r="E308" s="514">
        <v>0</v>
      </c>
      <c r="F308" s="514">
        <v>0</v>
      </c>
      <c r="G308" s="514">
        <v>0</v>
      </c>
      <c r="H308" s="514">
        <v>0</v>
      </c>
      <c r="I308" s="528"/>
      <c r="J308" s="330"/>
    </row>
    <row r="309" spans="1:10" x14ac:dyDescent="0.25">
      <c r="A309" s="332" t="s">
        <v>1040</v>
      </c>
      <c r="B309" s="332" t="s">
        <v>1041</v>
      </c>
      <c r="C309" s="514">
        <v>5065</v>
      </c>
      <c r="D309" s="514">
        <v>2500</v>
      </c>
      <c r="E309" s="514">
        <v>1500</v>
      </c>
      <c r="F309" s="514">
        <v>1095</v>
      </c>
      <c r="G309" s="514">
        <v>1200</v>
      </c>
      <c r="H309" s="514">
        <v>2500</v>
      </c>
      <c r="I309" s="528"/>
      <c r="J309" s="330"/>
    </row>
    <row r="310" spans="1:10" x14ac:dyDescent="0.25">
      <c r="A310" s="332" t="s">
        <v>1042</v>
      </c>
      <c r="B310" s="332" t="s">
        <v>1043</v>
      </c>
      <c r="C310" s="514">
        <v>6348</v>
      </c>
      <c r="D310" s="514">
        <v>5000</v>
      </c>
      <c r="E310" s="514">
        <v>6000</v>
      </c>
      <c r="F310" s="514">
        <v>5371</v>
      </c>
      <c r="G310" s="514">
        <v>5500</v>
      </c>
      <c r="H310" s="514">
        <v>6000</v>
      </c>
      <c r="I310" s="528"/>
      <c r="J310" s="330"/>
    </row>
    <row r="311" spans="1:10" s="532" customFormat="1" x14ac:dyDescent="0.25">
      <c r="A311" s="541" t="s">
        <v>1044</v>
      </c>
      <c r="B311" s="541"/>
      <c r="C311" s="393">
        <f>SUM(C306:C310)</f>
        <v>14503</v>
      </c>
      <c r="D311" s="393">
        <f t="shared" ref="D311:E311" si="54">SUM(D306:D310)</f>
        <v>10000</v>
      </c>
      <c r="E311" s="393">
        <f t="shared" si="54"/>
        <v>9500</v>
      </c>
      <c r="F311" s="393">
        <f>SUM(F306:F310)</f>
        <v>7041</v>
      </c>
      <c r="G311" s="393">
        <f t="shared" ref="G311" si="55">SUM(G306:G310)</f>
        <v>7900</v>
      </c>
      <c r="H311" s="393">
        <f t="shared" ref="H311" si="56">SUM(H306:H310)</f>
        <v>11200</v>
      </c>
    </row>
    <row r="312" spans="1:10" s="331" customFormat="1" ht="15" x14ac:dyDescent="0.2">
      <c r="A312" s="332"/>
      <c r="B312" s="332"/>
      <c r="C312" s="514"/>
      <c r="D312" s="514"/>
      <c r="E312" s="514"/>
      <c r="F312" s="514"/>
      <c r="G312" s="516"/>
      <c r="H312" s="516"/>
      <c r="I312" s="532"/>
    </row>
    <row r="313" spans="1:10" s="331" customFormat="1" ht="15" x14ac:dyDescent="0.2">
      <c r="A313" s="332" t="s">
        <v>1045</v>
      </c>
      <c r="B313" s="332" t="s">
        <v>1046</v>
      </c>
      <c r="C313" s="514">
        <v>9033</v>
      </c>
      <c r="D313" s="514">
        <v>9000</v>
      </c>
      <c r="E313" s="514">
        <v>8500</v>
      </c>
      <c r="F313" s="514">
        <v>10074</v>
      </c>
      <c r="G313" s="514">
        <v>8000</v>
      </c>
      <c r="H313" s="514">
        <v>4000</v>
      </c>
      <c r="I313" s="532"/>
    </row>
    <row r="314" spans="1:10" s="331" customFormat="1" ht="15" x14ac:dyDescent="0.2">
      <c r="A314" s="332" t="s">
        <v>2261</v>
      </c>
      <c r="B314" s="332" t="s">
        <v>1048</v>
      </c>
      <c r="C314" s="514">
        <v>141</v>
      </c>
      <c r="D314" s="514">
        <v>131</v>
      </c>
      <c r="E314" s="514">
        <v>123</v>
      </c>
      <c r="F314" s="514">
        <v>146</v>
      </c>
      <c r="G314" s="514">
        <v>116</v>
      </c>
      <c r="H314" s="514">
        <v>58</v>
      </c>
      <c r="I314" s="532"/>
    </row>
    <row r="315" spans="1:10" s="331" customFormat="1" ht="15" x14ac:dyDescent="0.2">
      <c r="A315" s="332" t="s">
        <v>1047</v>
      </c>
      <c r="B315" s="332" t="s">
        <v>1049</v>
      </c>
      <c r="C315" s="514">
        <v>1863</v>
      </c>
      <c r="D315" s="514">
        <v>1814</v>
      </c>
      <c r="E315" s="514">
        <v>1713</v>
      </c>
      <c r="F315" s="514">
        <v>2010</v>
      </c>
      <c r="G315" s="514">
        <v>1632</v>
      </c>
      <c r="H315" s="514">
        <v>816</v>
      </c>
      <c r="I315" s="532"/>
    </row>
    <row r="316" spans="1:10" s="331" customFormat="1" ht="15" x14ac:dyDescent="0.2">
      <c r="A316" s="332" t="s">
        <v>1999</v>
      </c>
      <c r="B316" s="332" t="s">
        <v>1050</v>
      </c>
      <c r="C316" s="514">
        <v>27</v>
      </c>
      <c r="D316" s="514">
        <v>27</v>
      </c>
      <c r="E316" s="514">
        <v>26</v>
      </c>
      <c r="F316" s="514">
        <v>30</v>
      </c>
      <c r="G316" s="514">
        <v>24</v>
      </c>
      <c r="H316" s="514">
        <v>12</v>
      </c>
      <c r="I316" s="532"/>
    </row>
    <row r="317" spans="1:10" s="532" customFormat="1" x14ac:dyDescent="0.25">
      <c r="A317" s="541" t="s">
        <v>1051</v>
      </c>
      <c r="B317" s="543"/>
      <c r="C317" s="392">
        <f>SUM(C313:C316)</f>
        <v>11064</v>
      </c>
      <c r="D317" s="392">
        <f t="shared" ref="D317:E317" si="57">SUM(D313:D316)</f>
        <v>10972</v>
      </c>
      <c r="E317" s="392">
        <f t="shared" si="57"/>
        <v>10362</v>
      </c>
      <c r="F317" s="392">
        <f>SUM(F313:F316)</f>
        <v>12260</v>
      </c>
      <c r="G317" s="392">
        <f t="shared" ref="G317:H317" si="58">SUM(G313:G316)</f>
        <v>9772</v>
      </c>
      <c r="H317" s="392">
        <f t="shared" si="58"/>
        <v>4886</v>
      </c>
    </row>
    <row r="318" spans="1:10" s="331" customFormat="1" x14ac:dyDescent="0.25">
      <c r="A318" s="328"/>
      <c r="B318" s="332"/>
      <c r="C318" s="514"/>
      <c r="D318" s="514"/>
      <c r="E318" s="514"/>
      <c r="F318" s="514"/>
      <c r="G318" s="516"/>
      <c r="H318" s="516"/>
      <c r="I318" s="532"/>
    </row>
    <row r="319" spans="1:10" s="331" customFormat="1" ht="15" x14ac:dyDescent="0.2">
      <c r="A319" s="332" t="s">
        <v>1052</v>
      </c>
      <c r="B319" s="332" t="s">
        <v>1053</v>
      </c>
      <c r="C319" s="514">
        <v>32125</v>
      </c>
      <c r="D319" s="514">
        <v>32768</v>
      </c>
      <c r="E319" s="514">
        <v>32768</v>
      </c>
      <c r="F319" s="514">
        <v>32968</v>
      </c>
      <c r="G319" s="522">
        <v>34423</v>
      </c>
      <c r="H319" s="522">
        <v>34423</v>
      </c>
      <c r="I319" s="532"/>
    </row>
    <row r="320" spans="1:10" s="331" customFormat="1" ht="15" x14ac:dyDescent="0.2">
      <c r="A320" s="332" t="s">
        <v>2262</v>
      </c>
      <c r="B320" s="332" t="s">
        <v>1060</v>
      </c>
      <c r="C320" s="514">
        <v>95</v>
      </c>
      <c r="D320" s="514">
        <v>98</v>
      </c>
      <c r="E320" s="514">
        <v>98</v>
      </c>
      <c r="F320" s="514">
        <v>97</v>
      </c>
      <c r="G320" s="514">
        <v>103</v>
      </c>
      <c r="H320" s="514">
        <v>103</v>
      </c>
      <c r="I320" s="532"/>
    </row>
    <row r="321" spans="1:10" s="331" customFormat="1" ht="15" x14ac:dyDescent="0.2">
      <c r="A321" s="332" t="s">
        <v>1054</v>
      </c>
      <c r="B321" s="332" t="s">
        <v>1055</v>
      </c>
      <c r="C321" s="514">
        <v>460</v>
      </c>
      <c r="D321" s="514">
        <v>475</v>
      </c>
      <c r="E321" s="514">
        <v>475</v>
      </c>
      <c r="F321" s="514">
        <v>470</v>
      </c>
      <c r="G321" s="514">
        <v>499</v>
      </c>
      <c r="H321" s="514">
        <v>499</v>
      </c>
      <c r="I321" s="532"/>
    </row>
    <row r="322" spans="1:10" s="331" customFormat="1" ht="15" x14ac:dyDescent="0.2">
      <c r="A322" s="332" t="s">
        <v>1056</v>
      </c>
      <c r="B322" s="332" t="s">
        <v>1057</v>
      </c>
      <c r="C322" s="514">
        <v>6309</v>
      </c>
      <c r="D322" s="514">
        <v>6603</v>
      </c>
      <c r="E322" s="514">
        <v>6603</v>
      </c>
      <c r="F322" s="514">
        <v>6497</v>
      </c>
      <c r="G322" s="515">
        <v>7022</v>
      </c>
      <c r="H322" s="515">
        <v>7022</v>
      </c>
      <c r="I322" s="532"/>
    </row>
    <row r="323" spans="1:10" s="331" customFormat="1" ht="15" x14ac:dyDescent="0.2">
      <c r="A323" s="332" t="s">
        <v>1058</v>
      </c>
      <c r="B323" s="332" t="s">
        <v>1059</v>
      </c>
      <c r="C323" s="514">
        <v>5747</v>
      </c>
      <c r="D323" s="514">
        <v>6000</v>
      </c>
      <c r="E323" s="514">
        <v>6000</v>
      </c>
      <c r="F323" s="514">
        <v>5968</v>
      </c>
      <c r="G323" s="514">
        <v>6000</v>
      </c>
      <c r="H323" s="514">
        <v>6170</v>
      </c>
      <c r="I323" s="532"/>
    </row>
    <row r="324" spans="1:10" s="532" customFormat="1" x14ac:dyDescent="0.25">
      <c r="A324" s="541" t="s">
        <v>1061</v>
      </c>
      <c r="B324" s="543"/>
      <c r="C324" s="392">
        <f t="shared" ref="C324:H324" si="59">SUM(C319:C323)</f>
        <v>44736</v>
      </c>
      <c r="D324" s="392">
        <f t="shared" si="59"/>
        <v>45944</v>
      </c>
      <c r="E324" s="392">
        <f t="shared" si="59"/>
        <v>45944</v>
      </c>
      <c r="F324" s="392">
        <f t="shared" si="59"/>
        <v>46000</v>
      </c>
      <c r="G324" s="392">
        <f t="shared" si="59"/>
        <v>48047</v>
      </c>
      <c r="H324" s="392">
        <f t="shared" si="59"/>
        <v>48217</v>
      </c>
    </row>
    <row r="325" spans="1:10" s="331" customFormat="1" x14ac:dyDescent="0.25">
      <c r="A325" s="328"/>
      <c r="B325" s="332"/>
      <c r="C325" s="514"/>
      <c r="D325" s="514"/>
      <c r="E325" s="514"/>
      <c r="F325" s="514"/>
      <c r="G325" s="516"/>
      <c r="H325" s="516"/>
      <c r="I325" s="532"/>
    </row>
    <row r="326" spans="1:10" x14ac:dyDescent="0.25">
      <c r="A326" s="332" t="s">
        <v>1062</v>
      </c>
      <c r="B326" s="332" t="s">
        <v>1063</v>
      </c>
      <c r="C326" s="514">
        <v>4047</v>
      </c>
      <c r="D326" s="514">
        <v>3550</v>
      </c>
      <c r="E326" s="514">
        <v>4650</v>
      </c>
      <c r="F326" s="514">
        <v>4928</v>
      </c>
      <c r="G326" s="514">
        <v>4650</v>
      </c>
      <c r="H326" s="514">
        <v>5000</v>
      </c>
      <c r="I326" s="528"/>
      <c r="J326" s="330"/>
    </row>
    <row r="327" spans="1:10" s="532" customFormat="1" x14ac:dyDescent="0.25">
      <c r="A327" s="541" t="s">
        <v>1064</v>
      </c>
      <c r="B327" s="541"/>
      <c r="C327" s="392">
        <f>SUM(C326)</f>
        <v>4047</v>
      </c>
      <c r="D327" s="392">
        <f t="shared" ref="D327:E327" si="60">SUM(D326)</f>
        <v>3550</v>
      </c>
      <c r="E327" s="392">
        <f t="shared" si="60"/>
        <v>4650</v>
      </c>
      <c r="F327" s="392">
        <f>SUM(F326)</f>
        <v>4928</v>
      </c>
      <c r="G327" s="392">
        <f t="shared" ref="G327:H327" si="61">SUM(G326)</f>
        <v>4650</v>
      </c>
      <c r="H327" s="392">
        <f t="shared" si="61"/>
        <v>5000</v>
      </c>
      <c r="I327" s="526"/>
    </row>
    <row r="328" spans="1:10" s="331" customFormat="1" x14ac:dyDescent="0.25">
      <c r="A328" s="328"/>
      <c r="B328" s="328"/>
      <c r="C328" s="514"/>
      <c r="D328" s="514"/>
      <c r="E328" s="514"/>
      <c r="F328" s="514"/>
      <c r="G328" s="516"/>
      <c r="H328" s="516"/>
      <c r="I328" s="532"/>
    </row>
    <row r="329" spans="1:10" x14ac:dyDescent="0.25">
      <c r="A329" s="332" t="s">
        <v>1065</v>
      </c>
      <c r="B329" s="332" t="s">
        <v>1066</v>
      </c>
      <c r="C329" s="514">
        <v>23783</v>
      </c>
      <c r="D329" s="514">
        <v>21660</v>
      </c>
      <c r="E329" s="514">
        <v>21660</v>
      </c>
      <c r="F329" s="514">
        <v>20323</v>
      </c>
      <c r="G329" s="514">
        <v>22320</v>
      </c>
      <c r="H329" s="514">
        <v>30840</v>
      </c>
      <c r="I329" s="528"/>
      <c r="J329" s="330"/>
    </row>
    <row r="330" spans="1:10" x14ac:dyDescent="0.25">
      <c r="A330" s="332" t="s">
        <v>1067</v>
      </c>
      <c r="B330" s="332" t="s">
        <v>1068</v>
      </c>
      <c r="C330" s="514">
        <v>0</v>
      </c>
      <c r="D330" s="514">
        <v>0</v>
      </c>
      <c r="E330" s="514">
        <v>0</v>
      </c>
      <c r="F330" s="514">
        <v>0</v>
      </c>
      <c r="G330" s="514">
        <v>0</v>
      </c>
      <c r="H330" s="514">
        <v>0</v>
      </c>
      <c r="I330" s="528"/>
      <c r="J330" s="330"/>
    </row>
    <row r="331" spans="1:10" s="532" customFormat="1" x14ac:dyDescent="0.25">
      <c r="A331" s="541" t="s">
        <v>1069</v>
      </c>
      <c r="B331" s="541"/>
      <c r="C331" s="393">
        <f>SUM(C329:C330)</f>
        <v>23783</v>
      </c>
      <c r="D331" s="393">
        <f t="shared" ref="D331" si="62">SUM(D329:D330)</f>
        <v>21660</v>
      </c>
      <c r="E331" s="393">
        <f>SUM(E329:E330)</f>
        <v>21660</v>
      </c>
      <c r="F331" s="393">
        <f>SUM(F329:F330)</f>
        <v>20323</v>
      </c>
      <c r="G331" s="393">
        <f>SUM(G329:G330)</f>
        <v>22320</v>
      </c>
      <c r="H331" s="393">
        <f>SUM(H329:H330)</f>
        <v>30840</v>
      </c>
    </row>
    <row r="332" spans="1:10" s="331" customFormat="1" x14ac:dyDescent="0.25">
      <c r="A332" s="328"/>
      <c r="B332" s="328"/>
      <c r="C332" s="514"/>
      <c r="D332" s="514"/>
      <c r="E332" s="514"/>
      <c r="F332" s="514"/>
      <c r="G332" s="516"/>
      <c r="H332" s="516"/>
      <c r="I332" s="532"/>
    </row>
    <row r="333" spans="1:10" s="528" customFormat="1" x14ac:dyDescent="0.25">
      <c r="A333" s="567" t="s">
        <v>2528</v>
      </c>
      <c r="B333" s="567" t="s">
        <v>2469</v>
      </c>
      <c r="C333" s="514">
        <v>0</v>
      </c>
      <c r="D333" s="514">
        <v>0</v>
      </c>
      <c r="E333" s="514">
        <v>0</v>
      </c>
      <c r="F333" s="514">
        <v>0</v>
      </c>
      <c r="G333" s="514">
        <v>0</v>
      </c>
      <c r="H333" s="514">
        <v>60000</v>
      </c>
    </row>
    <row r="334" spans="1:10" s="532" customFormat="1" x14ac:dyDescent="0.25">
      <c r="A334" s="541" t="s">
        <v>2683</v>
      </c>
      <c r="B334" s="541"/>
      <c r="C334" s="392">
        <f>SUM(C333)</f>
        <v>0</v>
      </c>
      <c r="D334" s="392">
        <f t="shared" ref="D334:E334" si="63">SUM(D333)</f>
        <v>0</v>
      </c>
      <c r="E334" s="392">
        <f t="shared" si="63"/>
        <v>0</v>
      </c>
      <c r="F334" s="392">
        <f>SUM(F333)</f>
        <v>0</v>
      </c>
      <c r="G334" s="392">
        <f t="shared" ref="G334:H334" si="64">SUM(G333)</f>
        <v>0</v>
      </c>
      <c r="H334" s="392">
        <f t="shared" si="64"/>
        <v>60000</v>
      </c>
      <c r="I334" s="526"/>
    </row>
    <row r="335" spans="1:10" s="331" customFormat="1" x14ac:dyDescent="0.25">
      <c r="A335" s="328"/>
      <c r="B335" s="328"/>
      <c r="C335" s="514"/>
      <c r="D335" s="514"/>
      <c r="E335" s="514"/>
      <c r="F335" s="514"/>
      <c r="G335" s="516"/>
      <c r="H335" s="516"/>
      <c r="I335" s="532"/>
    </row>
    <row r="336" spans="1:10" s="532" customFormat="1" x14ac:dyDescent="0.25">
      <c r="A336" s="541" t="s">
        <v>1070</v>
      </c>
      <c r="B336" s="541"/>
      <c r="C336" s="393">
        <f t="shared" ref="C336:H336" si="65">SUM(C244+C248+C279+C286+C304+C311+C317+C324+C327+C331+C334)</f>
        <v>1198641.3599999999</v>
      </c>
      <c r="D336" s="393">
        <f t="shared" si="65"/>
        <v>1118738.662</v>
      </c>
      <c r="E336" s="393">
        <f t="shared" si="65"/>
        <v>1277058</v>
      </c>
      <c r="F336" s="393">
        <f t="shared" si="65"/>
        <v>1250820</v>
      </c>
      <c r="G336" s="393">
        <f t="shared" si="65"/>
        <v>1186088.8999999999</v>
      </c>
      <c r="H336" s="393">
        <f t="shared" si="65"/>
        <v>1413473</v>
      </c>
      <c r="I336" s="544"/>
    </row>
    <row r="337" spans="1:18" s="403" customFormat="1" ht="15" x14ac:dyDescent="0.2">
      <c r="A337" s="332"/>
      <c r="B337" s="332"/>
      <c r="C337" s="514"/>
      <c r="D337" s="514"/>
      <c r="E337" s="514"/>
      <c r="F337" s="514"/>
      <c r="G337" s="516"/>
      <c r="H337" s="516"/>
      <c r="I337" s="554"/>
    </row>
    <row r="338" spans="1:18" s="337" customFormat="1" ht="15" x14ac:dyDescent="0.2">
      <c r="A338" s="332" t="s">
        <v>1071</v>
      </c>
      <c r="B338" s="332" t="s">
        <v>1072</v>
      </c>
      <c r="C338" s="514"/>
      <c r="D338" s="514">
        <f>SUM(D340-D339)</f>
        <v>596059.41800000006</v>
      </c>
      <c r="E338" s="514"/>
      <c r="F338" s="514"/>
      <c r="G338" s="514">
        <f>SUM(G340-G339)</f>
        <v>691361.85000000009</v>
      </c>
      <c r="H338" s="514">
        <f>SUM(H340-H339)</f>
        <v>754015</v>
      </c>
      <c r="I338" s="532"/>
      <c r="J338" s="331"/>
      <c r="K338" s="331"/>
      <c r="L338" s="331"/>
      <c r="M338" s="331"/>
      <c r="N338" s="331"/>
      <c r="O338" s="331"/>
      <c r="P338" s="331"/>
      <c r="Q338" s="331"/>
      <c r="R338" s="331"/>
    </row>
    <row r="339" spans="1:18" x14ac:dyDescent="0.25">
      <c r="A339" s="332" t="s">
        <v>1073</v>
      </c>
      <c r="B339" s="332" t="s">
        <v>1074</v>
      </c>
      <c r="C339" s="514"/>
      <c r="D339" s="514">
        <v>53963</v>
      </c>
      <c r="E339" s="514"/>
      <c r="F339" s="514"/>
      <c r="G339" s="514">
        <v>58993</v>
      </c>
      <c r="H339" s="514">
        <v>72246</v>
      </c>
      <c r="I339" s="528"/>
      <c r="J339" s="330"/>
    </row>
    <row r="340" spans="1:18" s="532" customFormat="1" x14ac:dyDescent="0.25">
      <c r="A340" s="541" t="s">
        <v>1075</v>
      </c>
      <c r="B340" s="541"/>
      <c r="C340" s="393"/>
      <c r="D340" s="393">
        <f>SUM(D36-D336)</f>
        <v>650022.41800000006</v>
      </c>
      <c r="E340" s="393"/>
      <c r="F340" s="393"/>
      <c r="G340" s="393">
        <f>SUM(G36-G336)</f>
        <v>750354.85000000009</v>
      </c>
      <c r="H340" s="393">
        <f>SUM(H36-H336)</f>
        <v>826261</v>
      </c>
    </row>
    <row r="341" spans="1:18" x14ac:dyDescent="0.25">
      <c r="B341" s="332"/>
      <c r="C341" s="514"/>
      <c r="D341" s="514"/>
      <c r="E341" s="514"/>
      <c r="F341" s="514"/>
      <c r="G341" s="516"/>
      <c r="H341" s="516"/>
      <c r="I341" s="528"/>
      <c r="J341" s="330"/>
    </row>
    <row r="342" spans="1:18" s="331" customFormat="1" x14ac:dyDescent="0.25">
      <c r="A342" s="328" t="s">
        <v>1076</v>
      </c>
      <c r="B342" s="328"/>
      <c r="C342" s="519"/>
      <c r="D342" s="519">
        <f>SUM(D336+D340)</f>
        <v>1768761.08</v>
      </c>
      <c r="E342" s="519"/>
      <c r="F342" s="519"/>
      <c r="G342" s="519">
        <f>SUM(G336+G340)</f>
        <v>1936443.75</v>
      </c>
      <c r="H342" s="519">
        <f>SUM(H336+H340)</f>
        <v>2239734</v>
      </c>
      <c r="I342" s="532"/>
    </row>
    <row r="343" spans="1:18" x14ac:dyDescent="0.25">
      <c r="B343" s="332"/>
      <c r="C343" s="514"/>
      <c r="D343" s="514"/>
      <c r="E343" s="514"/>
      <c r="F343" s="514"/>
      <c r="G343" s="516"/>
      <c r="H343" s="516"/>
      <c r="I343" s="528"/>
      <c r="J343" s="330"/>
    </row>
    <row r="344" spans="1:18" x14ac:dyDescent="0.25">
      <c r="A344" s="328" t="s">
        <v>1523</v>
      </c>
      <c r="B344" s="332"/>
      <c r="C344" s="514"/>
      <c r="D344" s="514">
        <v>0</v>
      </c>
      <c r="E344" s="514"/>
      <c r="F344" s="514"/>
      <c r="G344" s="514">
        <f>SUM(G36-G342)</f>
        <v>0</v>
      </c>
      <c r="H344" s="514">
        <f>SUM(H36-H342)</f>
        <v>0</v>
      </c>
      <c r="I344" s="528"/>
      <c r="J344" s="330"/>
    </row>
    <row r="345" spans="1:18" x14ac:dyDescent="0.25">
      <c r="A345" s="328"/>
      <c r="B345" s="332"/>
      <c r="C345" s="517"/>
      <c r="D345" s="517"/>
      <c r="E345" s="514"/>
      <c r="F345" s="514"/>
      <c r="J345" s="371"/>
    </row>
    <row r="346" spans="1:18" x14ac:dyDescent="0.25">
      <c r="B346" s="332"/>
      <c r="C346" s="517"/>
      <c r="D346" s="517"/>
      <c r="E346" s="514"/>
      <c r="F346" s="514"/>
      <c r="I346" s="516"/>
    </row>
    <row r="347" spans="1:18" x14ac:dyDescent="0.25">
      <c r="A347" s="328" t="s">
        <v>1229</v>
      </c>
      <c r="B347" s="332"/>
      <c r="C347" s="517"/>
      <c r="D347" s="517"/>
      <c r="E347" s="514"/>
      <c r="F347" s="514"/>
      <c r="I347" s="516"/>
    </row>
    <row r="348" spans="1:18" ht="39" x14ac:dyDescent="0.25">
      <c r="A348" s="334" t="s">
        <v>1096</v>
      </c>
      <c r="B348" s="335" t="s">
        <v>64</v>
      </c>
      <c r="C348" s="545" t="s">
        <v>1077</v>
      </c>
      <c r="D348" s="545" t="s">
        <v>1078</v>
      </c>
      <c r="E348" s="546" t="s">
        <v>1079</v>
      </c>
      <c r="F348" s="546" t="s">
        <v>1524</v>
      </c>
      <c r="G348" s="546" t="s">
        <v>1228</v>
      </c>
      <c r="H348" s="546" t="s">
        <v>2524</v>
      </c>
      <c r="I348" s="546" t="s">
        <v>2525</v>
      </c>
      <c r="J348" s="336" t="s">
        <v>2466</v>
      </c>
    </row>
    <row r="349" spans="1:18" ht="15" x14ac:dyDescent="0.25">
      <c r="A349" s="337" t="s">
        <v>1080</v>
      </c>
      <c r="B349" s="337"/>
      <c r="C349" s="343">
        <v>121751.48</v>
      </c>
      <c r="D349" s="343">
        <v>121751.48</v>
      </c>
      <c r="E349" s="547">
        <v>121465.14</v>
      </c>
      <c r="F349" s="547">
        <v>121465.14</v>
      </c>
      <c r="G349" s="547">
        <v>151608.82</v>
      </c>
      <c r="H349" s="547">
        <v>151604</v>
      </c>
      <c r="I349" s="547">
        <v>181852</v>
      </c>
      <c r="J349" s="404">
        <v>181947</v>
      </c>
    </row>
    <row r="350" spans="1:18" ht="15" x14ac:dyDescent="0.25">
      <c r="A350" s="330"/>
      <c r="C350" s="528"/>
      <c r="D350" s="528"/>
      <c r="E350" s="529"/>
      <c r="F350" s="529"/>
      <c r="G350" s="529"/>
      <c r="H350" s="529"/>
      <c r="I350" s="529"/>
      <c r="J350" s="338"/>
    </row>
    <row r="351" spans="1:18" ht="15" x14ac:dyDescent="0.25">
      <c r="A351" s="330" t="s">
        <v>2263</v>
      </c>
      <c r="B351" s="330" t="s">
        <v>1081</v>
      </c>
      <c r="C351" s="529">
        <v>20000</v>
      </c>
      <c r="D351" s="529">
        <v>20000</v>
      </c>
      <c r="E351" s="529">
        <v>0</v>
      </c>
      <c r="F351" s="529">
        <v>0</v>
      </c>
      <c r="G351" s="529">
        <v>0</v>
      </c>
      <c r="H351" s="529">
        <v>0</v>
      </c>
      <c r="I351" s="529"/>
      <c r="J351" s="529">
        <v>138465</v>
      </c>
    </row>
    <row r="352" spans="1:18" ht="15" x14ac:dyDescent="0.25">
      <c r="A352" s="330" t="s">
        <v>2263</v>
      </c>
      <c r="B352" s="330" t="s">
        <v>1082</v>
      </c>
      <c r="C352" s="529">
        <v>30000</v>
      </c>
      <c r="D352" s="529">
        <v>30000</v>
      </c>
      <c r="E352" s="529">
        <v>30000</v>
      </c>
      <c r="F352" s="529">
        <v>30000</v>
      </c>
      <c r="G352" s="529">
        <v>30000</v>
      </c>
      <c r="H352" s="529">
        <v>30000</v>
      </c>
      <c r="I352" s="555">
        <v>30000</v>
      </c>
      <c r="J352" s="555">
        <v>30000</v>
      </c>
    </row>
    <row r="353" spans="1:18" ht="15" x14ac:dyDescent="0.25">
      <c r="A353" s="330" t="s">
        <v>1083</v>
      </c>
      <c r="B353" s="330" t="s">
        <v>1084</v>
      </c>
      <c r="C353" s="529">
        <v>120</v>
      </c>
      <c r="D353" s="529">
        <v>111.66</v>
      </c>
      <c r="E353" s="529">
        <v>120</v>
      </c>
      <c r="F353" s="529">
        <v>139.22</v>
      </c>
      <c r="G353" s="529">
        <v>120</v>
      </c>
      <c r="H353" s="529">
        <v>343</v>
      </c>
      <c r="I353" s="529">
        <v>320</v>
      </c>
      <c r="J353" s="529">
        <v>320</v>
      </c>
    </row>
    <row r="354" spans="1:18" ht="15" x14ac:dyDescent="0.25">
      <c r="A354" s="330"/>
      <c r="C354" s="530"/>
      <c r="D354" s="530"/>
      <c r="E354" s="529"/>
      <c r="F354" s="529"/>
      <c r="G354" s="529"/>
      <c r="H354" s="529"/>
      <c r="I354" s="529"/>
      <c r="J354" s="338"/>
    </row>
    <row r="355" spans="1:18" ht="15" x14ac:dyDescent="0.25">
      <c r="A355" s="337" t="s">
        <v>1085</v>
      </c>
      <c r="B355" s="337"/>
      <c r="C355" s="548">
        <f t="shared" ref="C355:J355" si="66">SUM(C349:C353)</f>
        <v>171871.47999999998</v>
      </c>
      <c r="D355" s="548">
        <f t="shared" si="66"/>
        <v>171863.13999999998</v>
      </c>
      <c r="E355" s="548">
        <f t="shared" si="66"/>
        <v>151585.14000000001</v>
      </c>
      <c r="F355" s="548">
        <f t="shared" si="66"/>
        <v>151604.36000000002</v>
      </c>
      <c r="G355" s="563">
        <f t="shared" si="66"/>
        <v>181728.82</v>
      </c>
      <c r="H355" s="548">
        <f t="shared" si="66"/>
        <v>181947</v>
      </c>
      <c r="I355" s="549">
        <f t="shared" si="66"/>
        <v>212172</v>
      </c>
      <c r="J355" s="405">
        <f t="shared" si="66"/>
        <v>350732</v>
      </c>
    </row>
    <row r="356" spans="1:18" ht="15" x14ac:dyDescent="0.25">
      <c r="A356" s="330"/>
      <c r="C356" s="528"/>
      <c r="D356" s="528"/>
      <c r="E356" s="529"/>
      <c r="F356" s="529"/>
      <c r="G356" s="529"/>
      <c r="H356" s="529"/>
      <c r="I356" s="529"/>
      <c r="J356" s="338"/>
    </row>
    <row r="357" spans="1:18" ht="15" x14ac:dyDescent="0.25">
      <c r="A357" s="330" t="s">
        <v>2527</v>
      </c>
      <c r="B357" s="330" t="s">
        <v>1086</v>
      </c>
      <c r="C357" s="529">
        <v>0</v>
      </c>
      <c r="D357" s="529">
        <v>0</v>
      </c>
      <c r="E357" s="529">
        <v>0</v>
      </c>
      <c r="F357" s="529">
        <v>0</v>
      </c>
      <c r="G357" s="529">
        <v>0</v>
      </c>
      <c r="H357" s="529">
        <v>0</v>
      </c>
      <c r="I357" s="529">
        <v>0</v>
      </c>
      <c r="J357" s="338">
        <v>30000</v>
      </c>
    </row>
    <row r="358" spans="1:18" ht="15" x14ac:dyDescent="0.25">
      <c r="A358" s="330" t="s">
        <v>1087</v>
      </c>
      <c r="B358" s="330" t="s">
        <v>1088</v>
      </c>
      <c r="C358" s="529">
        <v>0</v>
      </c>
      <c r="D358" s="529">
        <v>0</v>
      </c>
      <c r="E358" s="529">
        <v>0</v>
      </c>
      <c r="F358" s="529">
        <v>0</v>
      </c>
      <c r="G358" s="529">
        <v>0</v>
      </c>
      <c r="H358" s="529">
        <v>0</v>
      </c>
      <c r="I358" s="529">
        <v>0</v>
      </c>
      <c r="J358" s="338">
        <v>0</v>
      </c>
    </row>
    <row r="359" spans="1:18" ht="15" x14ac:dyDescent="0.25">
      <c r="A359" s="330" t="s">
        <v>1089</v>
      </c>
      <c r="B359" s="330" t="s">
        <v>1090</v>
      </c>
      <c r="C359" s="529">
        <v>0</v>
      </c>
      <c r="D359" s="529">
        <v>0</v>
      </c>
      <c r="E359" s="529">
        <v>0</v>
      </c>
      <c r="F359" s="529">
        <v>0</v>
      </c>
      <c r="G359" s="529">
        <v>0</v>
      </c>
      <c r="H359" s="529">
        <v>0</v>
      </c>
      <c r="I359" s="529">
        <v>0</v>
      </c>
      <c r="J359" s="338">
        <v>80000</v>
      </c>
    </row>
    <row r="360" spans="1:18" ht="15" x14ac:dyDescent="0.25">
      <c r="A360" s="330" t="s">
        <v>1091</v>
      </c>
      <c r="B360" s="330" t="s">
        <v>424</v>
      </c>
      <c r="C360" s="529">
        <v>0</v>
      </c>
      <c r="D360" s="529">
        <v>0</v>
      </c>
      <c r="E360" s="529">
        <v>0</v>
      </c>
      <c r="F360" s="529">
        <v>0</v>
      </c>
      <c r="G360" s="529">
        <v>0</v>
      </c>
      <c r="H360" s="529">
        <v>0</v>
      </c>
      <c r="I360" s="529">
        <v>0</v>
      </c>
      <c r="J360" s="338">
        <v>28465</v>
      </c>
    </row>
    <row r="361" spans="1:18" ht="15" x14ac:dyDescent="0.25">
      <c r="A361" s="330" t="s">
        <v>1092</v>
      </c>
      <c r="B361" s="330" t="s">
        <v>1093</v>
      </c>
      <c r="C361" s="529">
        <v>30000</v>
      </c>
      <c r="D361" s="529">
        <v>50398</v>
      </c>
      <c r="E361" s="529">
        <v>0</v>
      </c>
      <c r="F361" s="529">
        <v>0</v>
      </c>
      <c r="G361" s="529">
        <v>0</v>
      </c>
      <c r="H361" s="529">
        <v>0</v>
      </c>
      <c r="I361" s="529">
        <v>0</v>
      </c>
      <c r="J361" s="338">
        <v>30000</v>
      </c>
    </row>
    <row r="362" spans="1:18" ht="15" x14ac:dyDescent="0.25">
      <c r="A362" s="331" t="s">
        <v>1094</v>
      </c>
      <c r="B362" s="331" t="s">
        <v>1094</v>
      </c>
      <c r="C362" s="531">
        <v>30000</v>
      </c>
      <c r="D362" s="531">
        <v>50398</v>
      </c>
      <c r="E362" s="569">
        <f>SUM(E357:E361)</f>
        <v>0</v>
      </c>
      <c r="F362" s="569">
        <v>0</v>
      </c>
      <c r="G362" s="531">
        <f>SUM(G357:G361)</f>
        <v>0</v>
      </c>
      <c r="H362" s="531">
        <f>SUM(H357:H361)</f>
        <v>0</v>
      </c>
      <c r="I362" s="531">
        <f>SUM(I357:I361)</f>
        <v>0</v>
      </c>
      <c r="J362" s="531">
        <f>SUM(J357:J361)</f>
        <v>168465</v>
      </c>
    </row>
    <row r="363" spans="1:18" ht="15" x14ac:dyDescent="0.25">
      <c r="A363" s="331"/>
      <c r="B363" s="331"/>
      <c r="C363" s="532"/>
      <c r="D363" s="532"/>
      <c r="E363" s="527"/>
      <c r="F363" s="527"/>
      <c r="G363" s="527"/>
      <c r="H363" s="527"/>
      <c r="I363" s="527"/>
      <c r="J363" s="339"/>
    </row>
    <row r="364" spans="1:18" s="562" customFormat="1" ht="15" x14ac:dyDescent="0.25">
      <c r="A364" s="559" t="s">
        <v>2529</v>
      </c>
      <c r="B364" s="559" t="s">
        <v>2530</v>
      </c>
      <c r="C364" s="560">
        <v>21871</v>
      </c>
      <c r="D364" s="560">
        <v>1465</v>
      </c>
      <c r="E364" s="560">
        <v>1585</v>
      </c>
      <c r="F364" s="560">
        <v>1604</v>
      </c>
      <c r="G364" s="560">
        <v>1729</v>
      </c>
      <c r="H364" s="560">
        <v>1947</v>
      </c>
      <c r="I364" s="560">
        <v>2267</v>
      </c>
      <c r="J364" s="560">
        <v>2267</v>
      </c>
      <c r="K364" s="561"/>
      <c r="L364" s="561"/>
      <c r="M364" s="561"/>
      <c r="N364" s="561"/>
      <c r="O364" s="561"/>
      <c r="P364" s="561"/>
      <c r="Q364" s="561"/>
      <c r="R364" s="561"/>
    </row>
    <row r="365" spans="1:18" s="558" customFormat="1" ht="15" x14ac:dyDescent="0.25">
      <c r="A365" s="559" t="s">
        <v>2532</v>
      </c>
      <c r="B365" s="559" t="s">
        <v>2531</v>
      </c>
      <c r="C365" s="560">
        <v>120000</v>
      </c>
      <c r="D365" s="560">
        <v>120000</v>
      </c>
      <c r="E365" s="560">
        <v>150000</v>
      </c>
      <c r="F365" s="560">
        <v>150000</v>
      </c>
      <c r="G365" s="560">
        <v>180000</v>
      </c>
      <c r="H365" s="560">
        <v>180000</v>
      </c>
      <c r="I365" s="560">
        <v>210000</v>
      </c>
      <c r="J365" s="560">
        <v>180000</v>
      </c>
    </row>
    <row r="366" spans="1:18" s="532" customFormat="1" x14ac:dyDescent="0.25">
      <c r="A366" s="541" t="s">
        <v>1075</v>
      </c>
      <c r="B366" s="541"/>
      <c r="C366" s="393">
        <f t="shared" ref="C366:J366" si="67">SUM(C364:C365)</f>
        <v>141871</v>
      </c>
      <c r="D366" s="393">
        <f t="shared" si="67"/>
        <v>121465</v>
      </c>
      <c r="E366" s="393">
        <f t="shared" si="67"/>
        <v>151585</v>
      </c>
      <c r="F366" s="393">
        <f t="shared" si="67"/>
        <v>151604</v>
      </c>
      <c r="G366" s="393">
        <f t="shared" si="67"/>
        <v>181729</v>
      </c>
      <c r="H366" s="393">
        <f t="shared" si="67"/>
        <v>181947</v>
      </c>
      <c r="I366" s="393">
        <f t="shared" si="67"/>
        <v>212267</v>
      </c>
      <c r="J366" s="393">
        <f t="shared" si="67"/>
        <v>182267</v>
      </c>
    </row>
    <row r="367" spans="1:18" ht="15" x14ac:dyDescent="0.25">
      <c r="A367" s="331"/>
      <c r="B367" s="331"/>
      <c r="C367" s="532"/>
      <c r="D367" s="532"/>
      <c r="E367" s="527"/>
      <c r="F367" s="527"/>
      <c r="G367" s="527"/>
      <c r="H367" s="527"/>
      <c r="I367" s="527"/>
      <c r="J367" s="339"/>
    </row>
    <row r="368" spans="1:18" ht="15" x14ac:dyDescent="0.25">
      <c r="A368" s="331"/>
      <c r="B368" s="331"/>
      <c r="C368" s="532"/>
      <c r="D368" s="532"/>
      <c r="E368" s="527"/>
      <c r="F368" s="527"/>
      <c r="G368" s="527"/>
      <c r="H368" s="527"/>
      <c r="I368" s="527"/>
      <c r="J368" s="339"/>
    </row>
    <row r="369" spans="1:10" ht="15" x14ac:dyDescent="0.25">
      <c r="A369" s="337" t="s">
        <v>1095</v>
      </c>
      <c r="B369" s="337"/>
      <c r="C369" s="548">
        <f t="shared" ref="C369:J369" si="68">SUM(C362+C366)</f>
        <v>171871</v>
      </c>
      <c r="D369" s="548">
        <f t="shared" si="68"/>
        <v>171863</v>
      </c>
      <c r="E369" s="548">
        <f t="shared" si="68"/>
        <v>151585</v>
      </c>
      <c r="F369" s="548">
        <f t="shared" si="68"/>
        <v>151604</v>
      </c>
      <c r="G369" s="548">
        <f t="shared" si="68"/>
        <v>181729</v>
      </c>
      <c r="H369" s="548">
        <f t="shared" si="68"/>
        <v>181947</v>
      </c>
      <c r="I369" s="548">
        <f t="shared" si="68"/>
        <v>212267</v>
      </c>
      <c r="J369" s="548">
        <f t="shared" si="68"/>
        <v>350732</v>
      </c>
    </row>
    <row r="373" spans="1:10" ht="39" x14ac:dyDescent="0.25">
      <c r="A373" s="335" t="s">
        <v>1096</v>
      </c>
      <c r="B373" s="335" t="s">
        <v>64</v>
      </c>
      <c r="C373" s="545" t="s">
        <v>1077</v>
      </c>
      <c r="D373" s="545" t="s">
        <v>1078</v>
      </c>
      <c r="E373" s="546" t="s">
        <v>1079</v>
      </c>
      <c r="F373" s="546" t="s">
        <v>1525</v>
      </c>
      <c r="G373" s="545" t="s">
        <v>1228</v>
      </c>
      <c r="H373" s="546" t="s">
        <v>2526</v>
      </c>
      <c r="I373" s="546" t="s">
        <v>2525</v>
      </c>
      <c r="J373" s="557" t="s">
        <v>2466</v>
      </c>
    </row>
    <row r="374" spans="1:10" ht="15" x14ac:dyDescent="0.25">
      <c r="A374" s="337" t="s">
        <v>1097</v>
      </c>
      <c r="C374" s="528"/>
      <c r="D374" s="528"/>
      <c r="E374" s="529"/>
      <c r="F374" s="529"/>
      <c r="G374" s="528"/>
      <c r="H374" s="529"/>
      <c r="I374" s="529"/>
      <c r="J374" s="529"/>
    </row>
    <row r="375" spans="1:10" ht="15" x14ac:dyDescent="0.25">
      <c r="A375" s="330"/>
      <c r="C375" s="528"/>
      <c r="D375" s="528"/>
      <c r="E375" s="529"/>
      <c r="F375" s="529"/>
      <c r="G375" s="528"/>
      <c r="H375" s="529"/>
      <c r="I375" s="529"/>
      <c r="J375" s="529"/>
    </row>
    <row r="376" spans="1:10" ht="15" x14ac:dyDescent="0.25">
      <c r="A376" s="337" t="s">
        <v>1080</v>
      </c>
      <c r="B376" s="331"/>
      <c r="C376" s="533">
        <v>12561.33</v>
      </c>
      <c r="D376" s="533">
        <v>12561.33</v>
      </c>
      <c r="E376" s="533">
        <v>3705.8</v>
      </c>
      <c r="F376" s="533">
        <v>3707.06</v>
      </c>
      <c r="G376" s="533">
        <v>13528.21</v>
      </c>
      <c r="H376" s="533">
        <v>13528.21</v>
      </c>
      <c r="I376" s="533">
        <v>3140</v>
      </c>
      <c r="J376" s="533">
        <v>19954</v>
      </c>
    </row>
    <row r="377" spans="1:10" ht="15" x14ac:dyDescent="0.25">
      <c r="A377" s="331"/>
      <c r="B377" s="331"/>
      <c r="C377" s="532"/>
      <c r="D377" s="532"/>
      <c r="E377" s="527"/>
      <c r="F377" s="527"/>
      <c r="G377" s="532"/>
      <c r="H377" s="527"/>
      <c r="I377" s="527"/>
      <c r="J377" s="527"/>
    </row>
    <row r="378" spans="1:10" ht="15" x14ac:dyDescent="0.25">
      <c r="A378" s="330" t="s">
        <v>2687</v>
      </c>
      <c r="B378" s="330" t="s">
        <v>1098</v>
      </c>
      <c r="C378" s="530">
        <v>100000</v>
      </c>
      <c r="D378" s="530">
        <v>20351.22</v>
      </c>
      <c r="E378" s="530">
        <v>100000</v>
      </c>
      <c r="F378" s="530">
        <v>20283.96</v>
      </c>
      <c r="G378" s="530">
        <v>100000</v>
      </c>
      <c r="H378" s="530">
        <v>19963.12</v>
      </c>
      <c r="I378" s="530">
        <v>100000</v>
      </c>
      <c r="J378" s="530">
        <v>100000</v>
      </c>
    </row>
    <row r="379" spans="1:10" ht="15" x14ac:dyDescent="0.25">
      <c r="A379" s="330" t="s">
        <v>2688</v>
      </c>
      <c r="B379" s="330" t="s">
        <v>1084</v>
      </c>
      <c r="C379" s="530">
        <v>15</v>
      </c>
      <c r="D379" s="530">
        <v>18.05</v>
      </c>
      <c r="E379" s="530">
        <v>18</v>
      </c>
      <c r="F379" s="530">
        <v>18</v>
      </c>
      <c r="G379" s="530">
        <v>20</v>
      </c>
      <c r="H379" s="530">
        <v>20</v>
      </c>
      <c r="I379" s="530">
        <v>47</v>
      </c>
      <c r="J379" s="530">
        <v>47</v>
      </c>
    </row>
    <row r="380" spans="1:10" ht="15" x14ac:dyDescent="0.25">
      <c r="A380" s="330"/>
      <c r="C380" s="528"/>
      <c r="D380" s="528"/>
      <c r="E380" s="529"/>
      <c r="F380" s="529"/>
      <c r="G380" s="528"/>
      <c r="H380" s="529"/>
      <c r="I380" s="529"/>
      <c r="J380" s="529"/>
    </row>
    <row r="381" spans="1:10" ht="15" x14ac:dyDescent="0.25">
      <c r="A381" s="341" t="s">
        <v>1099</v>
      </c>
      <c r="B381" s="556"/>
      <c r="C381" s="343">
        <f>SUM(C376:C379)</f>
        <v>112576.33</v>
      </c>
      <c r="D381" s="343">
        <f>SUM(D376:D379)</f>
        <v>32930.600000000006</v>
      </c>
      <c r="E381" s="343">
        <f>SUM(E376:E378:E379)</f>
        <v>103723.8</v>
      </c>
      <c r="F381" s="343">
        <f>SUM(F376:F378:F379)</f>
        <v>24009.02</v>
      </c>
      <c r="G381" s="343">
        <f>SUM(G376:G378:G379)</f>
        <v>113548.20999999999</v>
      </c>
      <c r="H381" s="343">
        <f>SUM(H376:H378:H379)</f>
        <v>33511.33</v>
      </c>
      <c r="I381" s="343">
        <f>SUM(I376:I378:I379)</f>
        <v>103187</v>
      </c>
      <c r="J381" s="402">
        <f>SUM(J376:J378:J379)</f>
        <v>120001</v>
      </c>
    </row>
    <row r="382" spans="1:10" ht="15" x14ac:dyDescent="0.25">
      <c r="A382" s="330"/>
      <c r="C382" s="528"/>
      <c r="D382" s="528"/>
      <c r="E382" s="529"/>
      <c r="F382" s="529"/>
      <c r="G382" s="528"/>
      <c r="H382" s="529"/>
      <c r="I382" s="529"/>
      <c r="J382" s="529"/>
    </row>
    <row r="383" spans="1:10" ht="15" x14ac:dyDescent="0.25">
      <c r="A383" s="330" t="s">
        <v>2689</v>
      </c>
      <c r="B383" s="330" t="s">
        <v>1100</v>
      </c>
      <c r="C383" s="530">
        <v>100000</v>
      </c>
      <c r="D383" s="530">
        <v>29223.54</v>
      </c>
      <c r="E383" s="530">
        <v>100000</v>
      </c>
      <c r="F383" s="530">
        <v>10480.81</v>
      </c>
      <c r="G383" s="530">
        <v>100000</v>
      </c>
      <c r="H383" s="530">
        <v>13557.33</v>
      </c>
      <c r="I383" s="530">
        <v>100000</v>
      </c>
      <c r="J383" s="530">
        <v>100000</v>
      </c>
    </row>
    <row r="384" spans="1:10" ht="15" x14ac:dyDescent="0.25">
      <c r="A384" s="330" t="s">
        <v>2690</v>
      </c>
      <c r="B384" s="330" t="s">
        <v>1387</v>
      </c>
      <c r="C384" s="530">
        <v>12576.33</v>
      </c>
      <c r="D384" s="530">
        <v>3707.06</v>
      </c>
      <c r="E384" s="530">
        <v>3723.8</v>
      </c>
      <c r="F384" s="530">
        <v>13528.21</v>
      </c>
      <c r="G384" s="530">
        <v>13548.21</v>
      </c>
      <c r="H384" s="530">
        <v>19954</v>
      </c>
      <c r="I384" s="530">
        <v>3187</v>
      </c>
      <c r="J384" s="530">
        <v>20001</v>
      </c>
    </row>
    <row r="385" spans="1:10" ht="15" x14ac:dyDescent="0.25">
      <c r="A385" s="331"/>
      <c r="B385" s="331"/>
      <c r="C385" s="532"/>
      <c r="D385" s="532"/>
      <c r="E385" s="527"/>
      <c r="F385" s="527"/>
      <c r="G385" s="532"/>
      <c r="H385" s="527"/>
      <c r="I385" s="527"/>
      <c r="J385" s="527"/>
    </row>
    <row r="386" spans="1:10" ht="15" x14ac:dyDescent="0.25">
      <c r="A386" s="337" t="s">
        <v>1070</v>
      </c>
      <c r="B386" s="337"/>
      <c r="C386" s="343">
        <f t="shared" ref="C386:H386" si="69">SUM(C383:C384)</f>
        <v>112576.33</v>
      </c>
      <c r="D386" s="343">
        <f t="shared" si="69"/>
        <v>32930.6</v>
      </c>
      <c r="E386" s="343">
        <f t="shared" si="69"/>
        <v>103723.8</v>
      </c>
      <c r="F386" s="343">
        <f t="shared" si="69"/>
        <v>24009.019999999997</v>
      </c>
      <c r="G386" s="343">
        <f t="shared" si="69"/>
        <v>113548.20999999999</v>
      </c>
      <c r="H386" s="343">
        <f t="shared" si="69"/>
        <v>33511.33</v>
      </c>
      <c r="I386" s="343">
        <f t="shared" ref="I386:J386" si="70">SUM(I383:I384)</f>
        <v>103187</v>
      </c>
      <c r="J386" s="343">
        <f t="shared" si="70"/>
        <v>120001</v>
      </c>
    </row>
    <row r="387" spans="1:10" ht="15" x14ac:dyDescent="0.25">
      <c r="A387" s="340"/>
      <c r="B387" s="340"/>
      <c r="C387" s="534"/>
      <c r="D387" s="534"/>
      <c r="E387" s="535"/>
      <c r="F387" s="535"/>
      <c r="G387" s="534"/>
      <c r="H387" s="536"/>
      <c r="I387" s="536"/>
      <c r="J387" s="536"/>
    </row>
    <row r="388" spans="1:10" ht="15" x14ac:dyDescent="0.25">
      <c r="A388" s="341" t="s">
        <v>1101</v>
      </c>
      <c r="B388" s="342"/>
      <c r="C388" s="343">
        <f t="shared" ref="C388:J388" si="71">SUM(C381-C386)</f>
        <v>0</v>
      </c>
      <c r="D388" s="343">
        <f t="shared" si="71"/>
        <v>7.2759576141834259E-12</v>
      </c>
      <c r="E388" s="343">
        <f t="shared" si="71"/>
        <v>0</v>
      </c>
      <c r="F388" s="343">
        <f t="shared" si="71"/>
        <v>3.637978807091713E-12</v>
      </c>
      <c r="G388" s="343">
        <f t="shared" si="71"/>
        <v>0</v>
      </c>
      <c r="H388" s="343">
        <f t="shared" si="71"/>
        <v>0</v>
      </c>
      <c r="I388" s="343">
        <f t="shared" si="71"/>
        <v>0</v>
      </c>
      <c r="J388" s="343">
        <f t="shared" si="71"/>
        <v>0</v>
      </c>
    </row>
  </sheetData>
  <pageMargins left="0.7" right="0.7" top="0.75" bottom="0.75" header="0.3" footer="0.3"/>
  <pageSetup scale="76" fitToHeight="21" orientation="landscape" r:id="rId1"/>
  <headerFooter>
    <oddHeader>&amp;C&amp;10 2019-20 Budget
Crestone Charter School
December 11, 2019</oddHeader>
    <oddFooter>&amp;C&amp;P of &amp;N</oddFooter>
  </headerFooter>
  <rowBreaks count="1" manualBreakCount="1">
    <brk id="317"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223"/>
  <sheetViews>
    <sheetView zoomScale="65" zoomScaleNormal="65" workbookViewId="0">
      <pane xSplit="3" ySplit="5" topLeftCell="D6" activePane="bottomRight" state="frozen"/>
      <selection pane="topRight" activeCell="D1" sqref="D1"/>
      <selection pane="bottomLeft" activeCell="A6" sqref="A6"/>
      <selection pane="bottomRight" activeCell="D35" sqref="D35"/>
    </sheetView>
  </sheetViews>
  <sheetFormatPr defaultRowHeight="15" x14ac:dyDescent="0.25"/>
  <cols>
    <col min="1" max="1" width="54.140625" customWidth="1"/>
    <col min="2" max="2" width="16.140625" customWidth="1"/>
    <col min="3" max="3" width="1.42578125" customWidth="1"/>
    <col min="4" max="4" width="25.140625" customWidth="1"/>
    <col min="5" max="5" width="1.42578125" customWidth="1"/>
    <col min="6" max="6" width="23.5703125" customWidth="1"/>
    <col min="7" max="7" width="1.42578125" hidden="1" customWidth="1"/>
    <col min="8" max="8" width="24.85546875" hidden="1" customWidth="1"/>
    <col min="9" max="9" width="1.42578125" customWidth="1"/>
    <col min="10" max="10" width="25.140625" customWidth="1"/>
    <col min="11" max="11" width="1.42578125" customWidth="1"/>
    <col min="12" max="13" width="0" hidden="1" customWidth="1"/>
    <col min="14" max="14" width="23.7109375" customWidth="1"/>
    <col min="15" max="15" width="1.42578125" customWidth="1"/>
    <col min="16" max="16" width="26.42578125" hidden="1" customWidth="1"/>
    <col min="17" max="17" width="1.42578125" hidden="1" customWidth="1"/>
    <col min="18" max="18" width="24.85546875" customWidth="1"/>
    <col min="19" max="19" width="1.42578125" customWidth="1"/>
    <col min="20" max="20" width="25.7109375" hidden="1" customWidth="1"/>
    <col min="21" max="21" width="1.42578125" hidden="1" customWidth="1"/>
    <col min="22" max="22" width="25.7109375" hidden="1" customWidth="1"/>
    <col min="23" max="23" width="1.42578125" hidden="1" customWidth="1"/>
    <col min="24" max="24" width="25.140625" hidden="1" customWidth="1"/>
    <col min="25" max="26" width="1.42578125" hidden="1" customWidth="1"/>
    <col min="27" max="27" width="25.140625" hidden="1" customWidth="1"/>
    <col min="28" max="28" width="1.42578125" hidden="1" customWidth="1"/>
    <col min="29" max="29" width="25.140625" customWidth="1"/>
    <col min="30" max="30" width="1.42578125" hidden="1" customWidth="1"/>
    <col min="31" max="31" width="25.140625" hidden="1" customWidth="1"/>
    <col min="32" max="32" width="1.42578125" customWidth="1"/>
    <col min="33" max="33" width="24.28515625" customWidth="1"/>
    <col min="34" max="34" width="1.42578125" customWidth="1"/>
    <col min="35" max="35" width="25.140625" hidden="1" customWidth="1"/>
    <col min="36" max="36" width="1.42578125" hidden="1" customWidth="1"/>
    <col min="37" max="37" width="25.140625" customWidth="1"/>
    <col min="38" max="38" width="1.42578125" customWidth="1"/>
    <col min="39" max="39" width="26.28515625" hidden="1" customWidth="1"/>
    <col min="40" max="40" width="1.42578125" hidden="1" customWidth="1"/>
    <col min="41" max="41" width="25.140625" hidden="1" customWidth="1"/>
    <col min="42" max="42" width="1.42578125" hidden="1" customWidth="1"/>
    <col min="43" max="43" width="25.140625" hidden="1" customWidth="1"/>
    <col min="44" max="44" width="1.42578125" hidden="1" customWidth="1"/>
    <col min="45" max="45" width="25.140625" hidden="1" customWidth="1"/>
    <col min="46" max="46" width="1.85546875" hidden="1" customWidth="1"/>
    <col min="47" max="47" width="1.42578125" hidden="1" customWidth="1"/>
    <col min="48" max="48" width="25.140625" hidden="1" customWidth="1"/>
    <col min="49" max="49" width="1.42578125" hidden="1" customWidth="1"/>
    <col min="50" max="50" width="25.140625" hidden="1" customWidth="1"/>
    <col min="51" max="51" width="1.42578125" hidden="1" customWidth="1"/>
    <col min="52" max="52" width="25.140625" hidden="1" customWidth="1"/>
    <col min="53" max="53" width="1.42578125" hidden="1" customWidth="1"/>
    <col min="54" max="54" width="25.140625" hidden="1" customWidth="1"/>
    <col min="55" max="55" width="1.42578125" hidden="1" customWidth="1"/>
    <col min="56" max="56" width="25.140625" hidden="1" customWidth="1"/>
    <col min="57" max="57" width="1.42578125" hidden="1" customWidth="1"/>
    <col min="58" max="58" width="25.140625" hidden="1" customWidth="1"/>
    <col min="59" max="59" width="1.42578125" hidden="1" customWidth="1"/>
    <col min="60" max="60" width="25.140625" hidden="1" customWidth="1"/>
    <col min="61" max="61" width="1.42578125" hidden="1" customWidth="1"/>
    <col min="62" max="62" width="25.140625" customWidth="1"/>
    <col min="63" max="63" width="1.42578125" customWidth="1"/>
    <col min="64" max="66" width="0" hidden="1" customWidth="1"/>
  </cols>
  <sheetData>
    <row r="1" spans="1:66" s="255" customFormat="1" ht="53.25" thickBot="1" x14ac:dyDescent="0.45">
      <c r="A1" s="251" t="s">
        <v>1526</v>
      </c>
      <c r="B1" s="252"/>
      <c r="C1" s="1"/>
      <c r="D1" s="253"/>
      <c r="E1" s="1"/>
      <c r="F1" s="253"/>
      <c r="G1" s="1"/>
      <c r="H1" s="253"/>
      <c r="I1" s="1"/>
      <c r="J1" s="253"/>
      <c r="K1" s="1"/>
      <c r="L1" s="254"/>
      <c r="M1" s="1"/>
      <c r="N1" s="253"/>
      <c r="O1" s="1"/>
      <c r="P1" s="253"/>
      <c r="Q1" s="1"/>
      <c r="R1" s="253"/>
      <c r="S1" s="1"/>
      <c r="T1" s="253"/>
      <c r="U1" s="1"/>
      <c r="V1" s="253"/>
      <c r="W1" s="1"/>
      <c r="X1" s="253"/>
      <c r="Y1" s="1"/>
      <c r="Z1" s="1"/>
      <c r="AA1" s="253"/>
      <c r="AB1" s="1"/>
      <c r="AC1" s="253"/>
      <c r="AD1" s="1"/>
      <c r="AE1" s="254"/>
      <c r="AF1" s="1"/>
      <c r="AG1" s="253"/>
      <c r="AH1" s="1"/>
      <c r="AI1" s="253"/>
      <c r="AJ1" s="1"/>
      <c r="AK1" s="253"/>
      <c r="AL1" s="1"/>
      <c r="AM1" s="253"/>
      <c r="AN1" s="1"/>
      <c r="AO1" s="253"/>
      <c r="AP1" s="1"/>
      <c r="AQ1" s="253"/>
      <c r="AR1" s="1"/>
      <c r="AS1" s="253"/>
      <c r="AT1" s="1"/>
      <c r="AU1" s="1"/>
      <c r="AV1" s="253"/>
      <c r="AW1" s="1"/>
      <c r="AX1" s="253"/>
      <c r="AY1" s="1"/>
      <c r="AZ1" s="253"/>
      <c r="BA1" s="1"/>
      <c r="BB1" s="253"/>
      <c r="BC1" s="1"/>
      <c r="BD1" s="253"/>
      <c r="BE1" s="1"/>
      <c r="BF1" s="253"/>
      <c r="BG1" s="1"/>
      <c r="BH1" s="253"/>
      <c r="BI1" s="1"/>
      <c r="BJ1" s="253"/>
      <c r="BK1" s="1"/>
      <c r="BL1" s="1"/>
      <c r="BM1" s="1"/>
      <c r="BN1" s="5"/>
    </row>
    <row r="2" spans="1:66" s="269" customFormat="1" ht="92.25" customHeight="1" thickBot="1" x14ac:dyDescent="0.3">
      <c r="A2" s="256" t="s">
        <v>1238</v>
      </c>
      <c r="B2" s="257" t="s">
        <v>631</v>
      </c>
      <c r="C2" s="258"/>
      <c r="D2" s="259" t="s">
        <v>632</v>
      </c>
      <c r="E2" s="258"/>
      <c r="F2" s="259" t="s">
        <v>633</v>
      </c>
      <c r="G2" s="258"/>
      <c r="H2" s="259" t="s">
        <v>634</v>
      </c>
      <c r="I2" s="258"/>
      <c r="J2" s="259" t="s">
        <v>635</v>
      </c>
      <c r="K2" s="258"/>
      <c r="L2" s="260" t="s">
        <v>636</v>
      </c>
      <c r="M2" s="261"/>
      <c r="N2" s="259" t="s">
        <v>1225</v>
      </c>
      <c r="O2" s="258"/>
      <c r="P2" s="259" t="s">
        <v>637</v>
      </c>
      <c r="Q2" s="258"/>
      <c r="R2" s="262" t="s">
        <v>638</v>
      </c>
      <c r="S2" s="258"/>
      <c r="T2" s="260" t="s">
        <v>639</v>
      </c>
      <c r="U2" s="263"/>
      <c r="V2" s="259" t="s">
        <v>640</v>
      </c>
      <c r="W2" s="263"/>
      <c r="X2" s="259" t="s">
        <v>641</v>
      </c>
      <c r="Y2" s="258"/>
      <c r="Z2" s="261"/>
      <c r="AA2" s="264" t="s">
        <v>642</v>
      </c>
      <c r="AB2" s="258"/>
      <c r="AC2" s="259" t="s">
        <v>643</v>
      </c>
      <c r="AD2" s="261"/>
      <c r="AE2" s="259" t="s">
        <v>644</v>
      </c>
      <c r="AF2" s="258"/>
      <c r="AG2" s="259" t="s">
        <v>645</v>
      </c>
      <c r="AH2" s="258"/>
      <c r="AI2" s="259" t="s">
        <v>646</v>
      </c>
      <c r="AJ2" s="258"/>
      <c r="AK2" s="259" t="s">
        <v>647</v>
      </c>
      <c r="AL2" s="258"/>
      <c r="AM2" s="259" t="s">
        <v>648</v>
      </c>
      <c r="AN2" s="258"/>
      <c r="AO2" s="259" t="s">
        <v>649</v>
      </c>
      <c r="AP2" s="258"/>
      <c r="AQ2" s="259" t="s">
        <v>650</v>
      </c>
      <c r="AR2" s="258"/>
      <c r="AS2" s="259" t="s">
        <v>651</v>
      </c>
      <c r="AT2" s="261"/>
      <c r="AU2" s="258"/>
      <c r="AV2" s="259" t="s">
        <v>652</v>
      </c>
      <c r="AW2" s="265"/>
      <c r="AX2" s="259" t="s">
        <v>653</v>
      </c>
      <c r="AY2" s="258"/>
      <c r="AZ2" s="266" t="s">
        <v>654</v>
      </c>
      <c r="BA2" s="258"/>
      <c r="BB2" s="266" t="s">
        <v>655</v>
      </c>
      <c r="BC2" s="258"/>
      <c r="BD2" s="259" t="s">
        <v>656</v>
      </c>
      <c r="BE2" s="258"/>
      <c r="BF2" s="259" t="s">
        <v>657</v>
      </c>
      <c r="BG2" s="258"/>
      <c r="BH2" s="260" t="s">
        <v>658</v>
      </c>
      <c r="BI2" s="258"/>
      <c r="BJ2" s="259" t="s">
        <v>659</v>
      </c>
      <c r="BK2" s="258"/>
      <c r="BL2" s="267"/>
      <c r="BM2" s="267"/>
      <c r="BN2" s="268"/>
    </row>
    <row r="3" spans="1:66" s="269" customFormat="1" ht="59.25" customHeight="1" thickBot="1" x14ac:dyDescent="0.3">
      <c r="A3" s="270" t="s">
        <v>2461</v>
      </c>
      <c r="B3" s="271" t="s">
        <v>487</v>
      </c>
      <c r="C3" s="272"/>
      <c r="D3" s="273" t="s">
        <v>1527</v>
      </c>
      <c r="E3" s="272"/>
      <c r="F3" s="273" t="s">
        <v>1527</v>
      </c>
      <c r="G3" s="272"/>
      <c r="H3" s="273" t="s">
        <v>660</v>
      </c>
      <c r="I3" s="272"/>
      <c r="J3" s="273" t="s">
        <v>1527</v>
      </c>
      <c r="K3" s="272"/>
      <c r="L3" s="274" t="s">
        <v>661</v>
      </c>
      <c r="M3" s="272"/>
      <c r="N3" s="273" t="s">
        <v>1527</v>
      </c>
      <c r="O3" s="272"/>
      <c r="P3" s="273" t="s">
        <v>660</v>
      </c>
      <c r="Q3" s="272"/>
      <c r="R3" s="273" t="s">
        <v>1527</v>
      </c>
      <c r="S3" s="272"/>
      <c r="T3" s="273" t="s">
        <v>660</v>
      </c>
      <c r="U3" s="275"/>
      <c r="V3" s="273" t="s">
        <v>660</v>
      </c>
      <c r="W3" s="275"/>
      <c r="X3" s="273" t="s">
        <v>660</v>
      </c>
      <c r="Y3" s="272"/>
      <c r="Z3" s="272"/>
      <c r="AA3" s="273" t="s">
        <v>660</v>
      </c>
      <c r="AB3" s="272"/>
      <c r="AC3" s="273" t="s">
        <v>1527</v>
      </c>
      <c r="AD3" s="272"/>
      <c r="AE3" s="273" t="s">
        <v>660</v>
      </c>
      <c r="AF3" s="272"/>
      <c r="AG3" s="273" t="s">
        <v>1527</v>
      </c>
      <c r="AH3" s="272">
        <v>0</v>
      </c>
      <c r="AI3" s="273" t="s">
        <v>660</v>
      </c>
      <c r="AJ3" s="272"/>
      <c r="AK3" s="273" t="s">
        <v>1527</v>
      </c>
      <c r="AL3" s="272"/>
      <c r="AM3" s="273" t="s">
        <v>660</v>
      </c>
      <c r="AN3" s="272"/>
      <c r="AO3" s="273" t="s">
        <v>660</v>
      </c>
      <c r="AP3" s="272"/>
      <c r="AQ3" s="273" t="s">
        <v>660</v>
      </c>
      <c r="AR3" s="272"/>
      <c r="AS3" s="273" t="s">
        <v>660</v>
      </c>
      <c r="AT3" s="272"/>
      <c r="AU3" s="272"/>
      <c r="AV3" s="273" t="s">
        <v>660</v>
      </c>
      <c r="AW3" s="276"/>
      <c r="AX3" s="273" t="s">
        <v>660</v>
      </c>
      <c r="AY3" s="272"/>
      <c r="AZ3" s="273" t="s">
        <v>660</v>
      </c>
      <c r="BA3" s="272"/>
      <c r="BB3" s="273" t="s">
        <v>660</v>
      </c>
      <c r="BC3" s="272"/>
      <c r="BD3" s="273" t="s">
        <v>1527</v>
      </c>
      <c r="BE3" s="272"/>
      <c r="BF3" s="273" t="s">
        <v>660</v>
      </c>
      <c r="BG3" s="272"/>
      <c r="BH3" s="273" t="s">
        <v>660</v>
      </c>
      <c r="BI3" s="272"/>
      <c r="BJ3" s="273" t="s">
        <v>1527</v>
      </c>
      <c r="BK3" s="272"/>
      <c r="BL3" s="267"/>
      <c r="BM3" s="267"/>
      <c r="BN3" s="268"/>
    </row>
    <row r="4" spans="1:66" s="269" customFormat="1" ht="18" x14ac:dyDescent="0.25">
      <c r="A4" s="277"/>
      <c r="B4" s="278"/>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9"/>
      <c r="BM4" s="279"/>
      <c r="BN4" s="280"/>
    </row>
    <row r="5" spans="1:66" s="269" customFormat="1" ht="18" x14ac:dyDescent="0.25">
      <c r="A5" s="281"/>
      <c r="B5" s="28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c r="AS5" s="272"/>
      <c r="AT5" s="272"/>
      <c r="AU5" s="272"/>
      <c r="AV5" s="272"/>
      <c r="AW5" s="272"/>
      <c r="AX5" s="272"/>
      <c r="AY5" s="272"/>
      <c r="AZ5" s="272"/>
      <c r="BA5" s="272"/>
      <c r="BB5" s="272"/>
      <c r="BC5" s="272"/>
      <c r="BD5" s="272"/>
      <c r="BE5" s="272"/>
      <c r="BF5" s="272"/>
      <c r="BG5" s="272"/>
      <c r="BH5" s="272"/>
      <c r="BI5" s="272"/>
      <c r="BJ5" s="272"/>
      <c r="BK5" s="272"/>
      <c r="BL5" s="279"/>
      <c r="BM5" s="279"/>
      <c r="BN5" s="280"/>
    </row>
    <row r="6" spans="1:66" s="269" customFormat="1" ht="18.75" thickBot="1" x14ac:dyDescent="0.3">
      <c r="A6" s="283" t="s">
        <v>662</v>
      </c>
      <c r="B6" s="284">
        <v>226.5</v>
      </c>
      <c r="C6" s="272"/>
      <c r="D6" s="285"/>
      <c r="E6" s="272"/>
      <c r="F6" s="285"/>
      <c r="G6" s="272"/>
      <c r="H6" s="285"/>
      <c r="I6" s="272"/>
      <c r="J6" s="285"/>
      <c r="K6" s="272"/>
      <c r="L6" s="285"/>
      <c r="M6" s="272"/>
      <c r="N6" s="285"/>
      <c r="O6" s="272"/>
      <c r="P6" s="285"/>
      <c r="Q6" s="272"/>
      <c r="R6" s="285"/>
      <c r="S6" s="272"/>
      <c r="T6" s="285"/>
      <c r="U6" s="272"/>
      <c r="V6" s="285"/>
      <c r="W6" s="272"/>
      <c r="X6" s="285"/>
      <c r="Y6" s="272"/>
      <c r="Z6" s="272"/>
      <c r="AA6" s="286" t="s">
        <v>663</v>
      </c>
      <c r="AB6" s="272"/>
      <c r="AC6" s="285"/>
      <c r="AD6" s="272"/>
      <c r="AE6" s="285"/>
      <c r="AF6" s="272"/>
      <c r="AG6" s="285"/>
      <c r="AH6" s="272"/>
      <c r="AI6" s="285"/>
      <c r="AJ6" s="272"/>
      <c r="AK6" s="285"/>
      <c r="AL6" s="272"/>
      <c r="AM6" s="285"/>
      <c r="AN6" s="272"/>
      <c r="AO6" s="285"/>
      <c r="AP6" s="272"/>
      <c r="AQ6" s="285"/>
      <c r="AR6" s="272"/>
      <c r="AS6" s="286" t="s">
        <v>664</v>
      </c>
      <c r="AT6" s="272"/>
      <c r="AU6" s="272"/>
      <c r="AV6" s="285"/>
      <c r="AW6" s="272"/>
      <c r="AX6" s="285"/>
      <c r="AY6" s="272"/>
      <c r="AZ6" s="286" t="s">
        <v>665</v>
      </c>
      <c r="BA6" s="272"/>
      <c r="BB6" s="286" t="s">
        <v>665</v>
      </c>
      <c r="BC6" s="272"/>
      <c r="BD6" s="285"/>
      <c r="BE6" s="272"/>
      <c r="BF6" s="285"/>
      <c r="BG6" s="272"/>
      <c r="BH6" s="285"/>
      <c r="BI6" s="272"/>
      <c r="BJ6" s="285"/>
      <c r="BK6" s="272"/>
      <c r="BL6" s="287"/>
      <c r="BM6" s="287"/>
    </row>
    <row r="7" spans="1:66" s="269" customFormat="1" ht="36" x14ac:dyDescent="0.25">
      <c r="A7" s="268" t="s">
        <v>666</v>
      </c>
      <c r="C7" s="288"/>
      <c r="D7" s="289">
        <f>'MCS Budget - Detailed'!N2</f>
        <v>1894251</v>
      </c>
      <c r="E7" s="290"/>
      <c r="F7" s="289">
        <f>'CCS Budget - Detailed'!H2</f>
        <v>826262</v>
      </c>
      <c r="G7" s="290"/>
      <c r="H7" s="289">
        <v>0</v>
      </c>
      <c r="I7" s="290"/>
      <c r="J7" s="289">
        <f>'MCS Budget - Detailed'!N855</f>
        <v>33587</v>
      </c>
      <c r="K7" s="290"/>
      <c r="L7" s="289">
        <v>0</v>
      </c>
      <c r="M7" s="290"/>
      <c r="N7" s="289">
        <f>'MCS Budget - Detailed'!N922</f>
        <v>21798</v>
      </c>
      <c r="O7" s="290"/>
      <c r="P7" s="289">
        <v>0</v>
      </c>
      <c r="Q7" s="290"/>
      <c r="R7" s="289">
        <f>'MCS Budget - Detailed'!N1026+'CCS Budget - Detailed'!J376</f>
        <v>42197</v>
      </c>
      <c r="S7" s="290"/>
      <c r="T7" s="289">
        <v>0</v>
      </c>
      <c r="U7" s="290"/>
      <c r="V7" s="289">
        <v>0</v>
      </c>
      <c r="W7" s="290"/>
      <c r="X7" s="289">
        <v>0</v>
      </c>
      <c r="Y7" s="290"/>
      <c r="Z7" s="290"/>
      <c r="AA7" s="289">
        <v>0</v>
      </c>
      <c r="AB7" s="290"/>
      <c r="AC7" s="289">
        <f>'MCS Budget - Detailed'!N971+'MCS Budget - Detailed'!N972</f>
        <v>572422</v>
      </c>
      <c r="AD7" s="290"/>
      <c r="AE7" s="289">
        <v>0</v>
      </c>
      <c r="AF7" s="290"/>
      <c r="AG7" s="289">
        <v>0</v>
      </c>
      <c r="AH7" s="290"/>
      <c r="AI7" s="289">
        <v>0</v>
      </c>
      <c r="AJ7" s="290"/>
      <c r="AK7" s="289">
        <f>'MCS Budget - Detailed'!N1006+'CCS Budget - Detailed'!J349</f>
        <v>418773</v>
      </c>
      <c r="AL7" s="290"/>
      <c r="AM7" s="289">
        <v>0</v>
      </c>
      <c r="AN7" s="290"/>
      <c r="AO7" s="289">
        <v>0</v>
      </c>
      <c r="AP7" s="290"/>
      <c r="AQ7" s="289">
        <v>0</v>
      </c>
      <c r="AR7" s="290"/>
      <c r="AS7" s="289">
        <v>0</v>
      </c>
      <c r="AT7" s="290"/>
      <c r="AU7" s="290"/>
      <c r="AV7" s="289">
        <v>0</v>
      </c>
      <c r="AW7" s="290"/>
      <c r="AX7" s="289">
        <v>0</v>
      </c>
      <c r="AY7" s="290"/>
      <c r="AZ7" s="289">
        <v>0</v>
      </c>
      <c r="BA7" s="290"/>
      <c r="BB7" s="289">
        <v>0</v>
      </c>
      <c r="BC7" s="290"/>
      <c r="BD7" s="289">
        <v>0</v>
      </c>
      <c r="BE7" s="290"/>
      <c r="BF7" s="289">
        <v>0</v>
      </c>
      <c r="BG7" s="290"/>
      <c r="BH7" s="289">
        <v>0</v>
      </c>
      <c r="BI7" s="291"/>
      <c r="BJ7" s="292">
        <f>D7+F7+H7+J7+X7+N7+P7+R7+T7+V7+AA7+AC7+AG7+AI7+AK7+AM7+AO7+AQ7+AS7+AV7+AX7+AZ7+BB7+BD7+BH7+BF7+AE7</f>
        <v>3809290</v>
      </c>
      <c r="BK7" s="293"/>
      <c r="BL7" s="267"/>
      <c r="BM7" s="267"/>
      <c r="BN7" s="268"/>
    </row>
    <row r="8" spans="1:66" s="269" customFormat="1" ht="36" x14ac:dyDescent="0.25">
      <c r="B8" s="294" t="s">
        <v>667</v>
      </c>
      <c r="C8" s="272"/>
      <c r="D8" s="295"/>
      <c r="E8" s="296"/>
      <c r="F8" s="295"/>
      <c r="G8" s="296"/>
      <c r="H8" s="295"/>
      <c r="I8" s="296"/>
      <c r="J8" s="295"/>
      <c r="K8" s="296"/>
      <c r="L8" s="295"/>
      <c r="M8" s="296"/>
      <c r="N8" s="295"/>
      <c r="O8" s="296"/>
      <c r="P8" s="295"/>
      <c r="Q8" s="296"/>
      <c r="R8" s="295"/>
      <c r="S8" s="296"/>
      <c r="T8" s="295"/>
      <c r="U8" s="296"/>
      <c r="V8" s="295"/>
      <c r="W8" s="296"/>
      <c r="X8" s="295"/>
      <c r="Y8" s="296"/>
      <c r="Z8" s="296"/>
      <c r="AA8" s="295"/>
      <c r="AB8" s="296"/>
      <c r="AC8" s="295"/>
      <c r="AD8" s="296"/>
      <c r="AE8" s="295"/>
      <c r="AF8" s="296"/>
      <c r="AG8" s="295"/>
      <c r="AH8" s="296"/>
      <c r="AI8" s="295"/>
      <c r="AJ8" s="296"/>
      <c r="AK8" s="295"/>
      <c r="AL8" s="296"/>
      <c r="AM8" s="295"/>
      <c r="AN8" s="296"/>
      <c r="AO8" s="295"/>
      <c r="AP8" s="296"/>
      <c r="AQ8" s="295"/>
      <c r="AR8" s="296"/>
      <c r="AS8" s="295"/>
      <c r="AT8" s="296"/>
      <c r="AU8" s="296"/>
      <c r="AV8" s="295"/>
      <c r="AW8" s="296"/>
      <c r="AX8" s="295"/>
      <c r="AY8" s="296"/>
      <c r="AZ8" s="295"/>
      <c r="BA8" s="296"/>
      <c r="BB8" s="295"/>
      <c r="BC8" s="296"/>
      <c r="BD8" s="295"/>
      <c r="BE8" s="296"/>
      <c r="BF8" s="295"/>
      <c r="BG8" s="296"/>
      <c r="BH8" s="295"/>
      <c r="BI8" s="272"/>
      <c r="BJ8" s="285"/>
      <c r="BK8" s="272"/>
      <c r="BL8" s="287"/>
      <c r="BM8" s="287"/>
    </row>
    <row r="9" spans="1:66" s="301" customFormat="1" ht="20.25" x14ac:dyDescent="0.3">
      <c r="A9" s="297" t="s">
        <v>668</v>
      </c>
      <c r="B9" s="294"/>
      <c r="C9" s="298"/>
      <c r="D9" s="289"/>
      <c r="E9" s="290"/>
      <c r="F9" s="289"/>
      <c r="G9" s="290"/>
      <c r="H9" s="289"/>
      <c r="I9" s="290"/>
      <c r="J9" s="289"/>
      <c r="K9" s="290"/>
      <c r="L9" s="289"/>
      <c r="M9" s="290"/>
      <c r="N9" s="289"/>
      <c r="O9" s="290"/>
      <c r="P9" s="289"/>
      <c r="Q9" s="290"/>
      <c r="R9" s="289"/>
      <c r="S9" s="290"/>
      <c r="T9" s="289"/>
      <c r="U9" s="290"/>
      <c r="V9" s="289"/>
      <c r="W9" s="290"/>
      <c r="X9" s="289"/>
      <c r="Y9" s="290"/>
      <c r="Z9" s="290"/>
      <c r="AA9" s="289"/>
      <c r="AB9" s="290"/>
      <c r="AC9" s="289"/>
      <c r="AD9" s="290"/>
      <c r="AE9" s="289"/>
      <c r="AF9" s="290"/>
      <c r="AG9" s="289"/>
      <c r="AH9" s="290"/>
      <c r="AI9" s="289"/>
      <c r="AJ9" s="290"/>
      <c r="AK9" s="289"/>
      <c r="AL9" s="290"/>
      <c r="AM9" s="289"/>
      <c r="AN9" s="290"/>
      <c r="AO9" s="289"/>
      <c r="AP9" s="290"/>
      <c r="AQ9" s="289"/>
      <c r="AR9" s="290"/>
      <c r="AS9" s="289"/>
      <c r="AT9" s="290"/>
      <c r="AU9" s="290"/>
      <c r="AV9" s="289"/>
      <c r="AW9" s="290"/>
      <c r="AX9" s="289"/>
      <c r="AY9" s="290"/>
      <c r="AZ9" s="289"/>
      <c r="BA9" s="290"/>
      <c r="BB9" s="289"/>
      <c r="BC9" s="290"/>
      <c r="BD9" s="289"/>
      <c r="BE9" s="290"/>
      <c r="BF9" s="289"/>
      <c r="BG9" s="290"/>
      <c r="BH9" s="289"/>
      <c r="BI9" s="291"/>
      <c r="BJ9" s="292"/>
      <c r="BK9" s="298"/>
      <c r="BL9" s="299"/>
      <c r="BM9" s="299"/>
      <c r="BN9" s="300"/>
    </row>
    <row r="10" spans="1:66" s="301" customFormat="1" ht="36" x14ac:dyDescent="0.25">
      <c r="A10" s="268" t="s">
        <v>669</v>
      </c>
      <c r="B10" s="294" t="s">
        <v>670</v>
      </c>
      <c r="C10" s="298"/>
      <c r="D10" s="289">
        <f>SUM('MCS Budget - Detailed'!N4:N31)</f>
        <v>1271286</v>
      </c>
      <c r="E10" s="290"/>
      <c r="F10" s="289">
        <f>SUM('CCS Budget - Detailed'!H4:H12)</f>
        <v>96583</v>
      </c>
      <c r="G10" s="290"/>
      <c r="H10" s="289">
        <v>0</v>
      </c>
      <c r="I10" s="290"/>
      <c r="J10" s="289">
        <f>'MCS Budget - Detailed'!N856</f>
        <v>50</v>
      </c>
      <c r="K10" s="290"/>
      <c r="L10" s="289">
        <v>0</v>
      </c>
      <c r="M10" s="290"/>
      <c r="N10" s="289">
        <f>'MCS Budget - Detailed'!N923+'MCS Budget - Detailed'!N924+'MCS Budget - Detailed'!N926+'MCS Budget - Detailed'!N925</f>
        <v>9075</v>
      </c>
      <c r="O10" s="290"/>
      <c r="P10" s="289">
        <v>0</v>
      </c>
      <c r="Q10" s="290"/>
      <c r="R10" s="289">
        <f>'MCS Budget - Detailed'!N1027+'CCS Budget - Detailed'!J378+'CCS Budget - Detailed'!J379</f>
        <v>180047</v>
      </c>
      <c r="S10" s="290"/>
      <c r="T10" s="289">
        <v>0</v>
      </c>
      <c r="U10" s="290"/>
      <c r="V10" s="289">
        <v>0</v>
      </c>
      <c r="W10" s="290"/>
      <c r="X10" s="289">
        <v>0</v>
      </c>
      <c r="Y10" s="290"/>
      <c r="Z10" s="290"/>
      <c r="AA10" s="289">
        <v>0</v>
      </c>
      <c r="AB10" s="290"/>
      <c r="AC10" s="289">
        <f>'MCS Budget - Detailed'!N973+'MCS Budget - Detailed'!N974+'MCS Budget - Detailed'!N975+'MCS Budget - Detailed'!N976+'MCS Budget - Detailed'!N977+'MCS Budget - Detailed'!N978</f>
        <v>400777</v>
      </c>
      <c r="AD10" s="290"/>
      <c r="AE10" s="289">
        <v>0</v>
      </c>
      <c r="AF10" s="290"/>
      <c r="AG10" s="289">
        <v>0</v>
      </c>
      <c r="AH10" s="290"/>
      <c r="AI10" s="289">
        <v>0</v>
      </c>
      <c r="AJ10" s="290"/>
      <c r="AK10" s="289">
        <f>'MCS Budget - Detailed'!N1008+'MCS Budget - Detailed'!N1007+'CCS Budget - Detailed'!J353</f>
        <v>3860</v>
      </c>
      <c r="AL10" s="290"/>
      <c r="AM10" s="289">
        <v>0</v>
      </c>
      <c r="AN10" s="290"/>
      <c r="AO10" s="289">
        <v>0</v>
      </c>
      <c r="AP10" s="290"/>
      <c r="AQ10" s="289">
        <v>0</v>
      </c>
      <c r="AR10" s="290"/>
      <c r="AS10" s="289">
        <v>0</v>
      </c>
      <c r="AT10" s="290"/>
      <c r="AU10" s="290"/>
      <c r="AV10" s="289">
        <v>0</v>
      </c>
      <c r="AW10" s="290"/>
      <c r="AX10" s="289">
        <v>0</v>
      </c>
      <c r="AY10" s="290"/>
      <c r="AZ10" s="289">
        <v>0</v>
      </c>
      <c r="BA10" s="290"/>
      <c r="BB10" s="289">
        <v>0</v>
      </c>
      <c r="BC10" s="290"/>
      <c r="BD10" s="289">
        <v>0</v>
      </c>
      <c r="BE10" s="290"/>
      <c r="BF10" s="289">
        <v>0</v>
      </c>
      <c r="BG10" s="290"/>
      <c r="BH10" s="289">
        <v>0</v>
      </c>
      <c r="BI10" s="291"/>
      <c r="BJ10" s="292">
        <f>D10+F10+H10+J10+X10+N10+P10+R10+T10+V10+AA10+AC10+AG10+AI10+AK10+AM10+AO10+AQ10+AS10+AV10+AX10+AZ10+BB10+BD10+BH10+BF10+AE10</f>
        <v>1961678</v>
      </c>
      <c r="BK10" s="298"/>
      <c r="BL10" s="299"/>
      <c r="BM10" s="299"/>
      <c r="BN10" s="300"/>
    </row>
    <row r="11" spans="1:66" s="301" customFormat="1" ht="18" x14ac:dyDescent="0.25">
      <c r="A11" s="268"/>
      <c r="B11" s="294"/>
      <c r="C11" s="298"/>
      <c r="D11" s="289"/>
      <c r="E11" s="290"/>
      <c r="F11" s="289"/>
      <c r="G11" s="290"/>
      <c r="H11" s="289"/>
      <c r="I11" s="290"/>
      <c r="J11" s="289"/>
      <c r="K11" s="290"/>
      <c r="L11" s="289"/>
      <c r="M11" s="290"/>
      <c r="N11" s="289"/>
      <c r="O11" s="290"/>
      <c r="P11" s="289"/>
      <c r="Q11" s="290"/>
      <c r="R11" s="289"/>
      <c r="S11" s="290"/>
      <c r="T11" s="289"/>
      <c r="U11" s="290"/>
      <c r="V11" s="289"/>
      <c r="W11" s="290"/>
      <c r="X11" s="289"/>
      <c r="Y11" s="290"/>
      <c r="Z11" s="290"/>
      <c r="AA11" s="289"/>
      <c r="AB11" s="290"/>
      <c r="AC11" s="289"/>
      <c r="AD11" s="290"/>
      <c r="AE11" s="289"/>
      <c r="AF11" s="290"/>
      <c r="AG11" s="289"/>
      <c r="AH11" s="290"/>
      <c r="AI11" s="289"/>
      <c r="AJ11" s="290"/>
      <c r="AK11" s="289"/>
      <c r="AL11" s="290"/>
      <c r="AM11" s="289"/>
      <c r="AN11" s="290"/>
      <c r="AO11" s="289"/>
      <c r="AP11" s="290"/>
      <c r="AQ11" s="289"/>
      <c r="AR11" s="290"/>
      <c r="AS11" s="289"/>
      <c r="AT11" s="290"/>
      <c r="AU11" s="290"/>
      <c r="AV11" s="289"/>
      <c r="AW11" s="290"/>
      <c r="AX11" s="289"/>
      <c r="AY11" s="290"/>
      <c r="AZ11" s="289"/>
      <c r="BA11" s="290"/>
      <c r="BB11" s="289"/>
      <c r="BC11" s="290"/>
      <c r="BD11" s="289"/>
      <c r="BE11" s="290"/>
      <c r="BF11" s="289"/>
      <c r="BG11" s="290"/>
      <c r="BH11" s="289"/>
      <c r="BI11" s="291"/>
      <c r="BJ11" s="300"/>
      <c r="BK11" s="298"/>
      <c r="BL11" s="299"/>
      <c r="BM11" s="299"/>
      <c r="BN11" s="300"/>
    </row>
    <row r="12" spans="1:66" s="301" customFormat="1" ht="36" x14ac:dyDescent="0.25">
      <c r="A12" s="268" t="s">
        <v>671</v>
      </c>
      <c r="B12" s="294" t="s">
        <v>672</v>
      </c>
      <c r="C12" s="288"/>
      <c r="D12" s="289">
        <f>SUM('MCS Budget - Detailed'!N32)</f>
        <v>46</v>
      </c>
      <c r="E12" s="290"/>
      <c r="F12" s="289">
        <v>0</v>
      </c>
      <c r="G12" s="290"/>
      <c r="H12" s="289">
        <v>0</v>
      </c>
      <c r="I12" s="290"/>
      <c r="J12" s="289">
        <v>0</v>
      </c>
      <c r="K12" s="290"/>
      <c r="L12" s="289"/>
      <c r="M12" s="290"/>
      <c r="N12" s="289">
        <v>0</v>
      </c>
      <c r="O12" s="290"/>
      <c r="P12" s="289">
        <v>0</v>
      </c>
      <c r="Q12" s="290"/>
      <c r="R12" s="289">
        <v>0</v>
      </c>
      <c r="S12" s="290"/>
      <c r="T12" s="289">
        <v>0</v>
      </c>
      <c r="U12" s="290"/>
      <c r="V12" s="289">
        <v>0</v>
      </c>
      <c r="W12" s="290"/>
      <c r="X12" s="289">
        <v>0</v>
      </c>
      <c r="Y12" s="290"/>
      <c r="Z12" s="290"/>
      <c r="AA12" s="289">
        <v>0</v>
      </c>
      <c r="AB12" s="290"/>
      <c r="AC12" s="289">
        <v>0</v>
      </c>
      <c r="AD12" s="290"/>
      <c r="AE12" s="289">
        <v>0</v>
      </c>
      <c r="AF12" s="290"/>
      <c r="AG12" s="289">
        <v>0</v>
      </c>
      <c r="AH12" s="290"/>
      <c r="AI12" s="289">
        <v>0</v>
      </c>
      <c r="AJ12" s="290"/>
      <c r="AK12" s="289">
        <v>0</v>
      </c>
      <c r="AL12" s="290"/>
      <c r="AM12" s="289">
        <v>0</v>
      </c>
      <c r="AN12" s="290"/>
      <c r="AO12" s="289">
        <v>0</v>
      </c>
      <c r="AP12" s="290"/>
      <c r="AQ12" s="289">
        <v>0</v>
      </c>
      <c r="AR12" s="290"/>
      <c r="AS12" s="289">
        <v>0</v>
      </c>
      <c r="AT12" s="290"/>
      <c r="AU12" s="290"/>
      <c r="AV12" s="289">
        <v>0</v>
      </c>
      <c r="AW12" s="290"/>
      <c r="AX12" s="289">
        <v>0</v>
      </c>
      <c r="AY12" s="290"/>
      <c r="AZ12" s="289">
        <v>0</v>
      </c>
      <c r="BA12" s="290"/>
      <c r="BB12" s="289">
        <v>0</v>
      </c>
      <c r="BC12" s="290"/>
      <c r="BD12" s="289">
        <v>0</v>
      </c>
      <c r="BE12" s="290"/>
      <c r="BF12" s="289">
        <v>0</v>
      </c>
      <c r="BG12" s="290"/>
      <c r="BH12" s="289">
        <v>0</v>
      </c>
      <c r="BI12" s="291"/>
      <c r="BJ12" s="292">
        <f>D12+F12+H12+J12+X12+N12+P12+R12+T12+V12+AA12+AC12+AG12+AI12+AK12+AM12+AO12+AQ12+AS12+AV12+AX12+AZ12+BB12+BD12+BH12+BF12+AE12</f>
        <v>46</v>
      </c>
      <c r="BK12" s="293"/>
      <c r="BL12" s="299"/>
      <c r="BM12" s="299"/>
      <c r="BN12" s="300"/>
    </row>
    <row r="13" spans="1:66" s="301" customFormat="1" ht="18" x14ac:dyDescent="0.25">
      <c r="A13" s="268"/>
      <c r="B13" s="294"/>
      <c r="C13" s="298"/>
      <c r="D13" s="289"/>
      <c r="E13" s="290"/>
      <c r="F13" s="289"/>
      <c r="G13" s="290"/>
      <c r="H13" s="289"/>
      <c r="I13" s="290"/>
      <c r="J13" s="289"/>
      <c r="K13" s="290"/>
      <c r="L13" s="289"/>
      <c r="M13" s="290"/>
      <c r="N13" s="289"/>
      <c r="O13" s="290"/>
      <c r="P13" s="289"/>
      <c r="Q13" s="290"/>
      <c r="R13" s="289"/>
      <c r="S13" s="290"/>
      <c r="T13" s="289"/>
      <c r="U13" s="290"/>
      <c r="V13" s="289"/>
      <c r="W13" s="290"/>
      <c r="X13" s="289"/>
      <c r="Y13" s="290"/>
      <c r="Z13" s="290"/>
      <c r="AA13" s="289"/>
      <c r="AB13" s="290"/>
      <c r="AC13" s="289"/>
      <c r="AD13" s="290"/>
      <c r="AE13" s="289"/>
      <c r="AF13" s="290"/>
      <c r="AG13" s="289"/>
      <c r="AH13" s="290"/>
      <c r="AI13" s="289"/>
      <c r="AJ13" s="290"/>
      <c r="AK13" s="289"/>
      <c r="AL13" s="290"/>
      <c r="AM13" s="289"/>
      <c r="AN13" s="290"/>
      <c r="AO13" s="289"/>
      <c r="AP13" s="290"/>
      <c r="AQ13" s="289"/>
      <c r="AR13" s="290"/>
      <c r="AS13" s="289"/>
      <c r="AT13" s="290"/>
      <c r="AU13" s="290"/>
      <c r="AV13" s="289"/>
      <c r="AW13" s="290"/>
      <c r="AX13" s="289"/>
      <c r="AY13" s="290"/>
      <c r="AZ13" s="289"/>
      <c r="BA13" s="290"/>
      <c r="BB13" s="289"/>
      <c r="BC13" s="290"/>
      <c r="BD13" s="289"/>
      <c r="BE13" s="290"/>
      <c r="BF13" s="289"/>
      <c r="BG13" s="290"/>
      <c r="BH13" s="289"/>
      <c r="BI13" s="291"/>
      <c r="BJ13" s="300"/>
      <c r="BK13" s="298"/>
      <c r="BL13" s="299"/>
      <c r="BM13" s="299"/>
      <c r="BN13" s="300"/>
    </row>
    <row r="14" spans="1:66" s="301" customFormat="1" ht="36" x14ac:dyDescent="0.25">
      <c r="A14" s="268" t="s">
        <v>673</v>
      </c>
      <c r="B14" s="294" t="s">
        <v>674</v>
      </c>
      <c r="C14" s="298"/>
      <c r="D14" s="289">
        <f>SUM('MCS Budget - Detailed'!N33:N49)</f>
        <v>2922167</v>
      </c>
      <c r="E14" s="290"/>
      <c r="F14" s="289">
        <f>SUM('CCS Budget - Detailed'!H13:H22)</f>
        <v>119617</v>
      </c>
      <c r="G14" s="290"/>
      <c r="H14" s="289">
        <v>0</v>
      </c>
      <c r="I14" s="290"/>
      <c r="J14" s="289">
        <f>'MCS Budget - Detailed'!N857</f>
        <v>764</v>
      </c>
      <c r="K14" s="290"/>
      <c r="L14" s="289">
        <v>0</v>
      </c>
      <c r="M14" s="290"/>
      <c r="N14" s="289">
        <f>'MCS Budget - Detailed'!N928</f>
        <v>600</v>
      </c>
      <c r="O14" s="290"/>
      <c r="P14" s="289">
        <v>0</v>
      </c>
      <c r="Q14" s="290"/>
      <c r="R14" s="289">
        <v>0</v>
      </c>
      <c r="S14" s="290"/>
      <c r="T14" s="289">
        <v>0</v>
      </c>
      <c r="U14" s="290"/>
      <c r="V14" s="289">
        <v>0</v>
      </c>
      <c r="W14" s="290"/>
      <c r="X14" s="289">
        <v>0</v>
      </c>
      <c r="Y14" s="290"/>
      <c r="Z14" s="290"/>
      <c r="AA14" s="289">
        <v>0</v>
      </c>
      <c r="AB14" s="290"/>
      <c r="AC14" s="289">
        <v>0</v>
      </c>
      <c r="AD14" s="290"/>
      <c r="AE14" s="289">
        <v>0</v>
      </c>
      <c r="AF14" s="290"/>
      <c r="AG14" s="289">
        <v>0</v>
      </c>
      <c r="AH14" s="290"/>
      <c r="AI14" s="289">
        <v>0</v>
      </c>
      <c r="AJ14" s="290"/>
      <c r="AK14" s="289">
        <v>0</v>
      </c>
      <c r="AL14" s="290"/>
      <c r="AM14" s="289">
        <v>0</v>
      </c>
      <c r="AN14" s="290"/>
      <c r="AO14" s="289">
        <v>0</v>
      </c>
      <c r="AP14" s="290"/>
      <c r="AQ14" s="289">
        <v>0</v>
      </c>
      <c r="AR14" s="290"/>
      <c r="AS14" s="289">
        <v>0</v>
      </c>
      <c r="AT14" s="290"/>
      <c r="AU14" s="290"/>
      <c r="AV14" s="289">
        <v>0</v>
      </c>
      <c r="AW14" s="290"/>
      <c r="AX14" s="289">
        <v>0</v>
      </c>
      <c r="AY14" s="290"/>
      <c r="AZ14" s="289">
        <v>0</v>
      </c>
      <c r="BA14" s="290"/>
      <c r="BB14" s="289">
        <v>0</v>
      </c>
      <c r="BC14" s="290"/>
      <c r="BD14" s="289">
        <v>0</v>
      </c>
      <c r="BE14" s="290"/>
      <c r="BF14" s="289">
        <v>0</v>
      </c>
      <c r="BG14" s="290"/>
      <c r="BH14" s="289">
        <v>0</v>
      </c>
      <c r="BI14" s="291"/>
      <c r="BJ14" s="292">
        <f>D14+F14+H14+J14+X14+N14+P14+R14+T14+V14+AA14+AC14+AG14+AI14+AK14+AM14+AO14+AQ14+AS14+AV14+AX14+AZ14+BB14+BD14+BH14+BF14+AE14</f>
        <v>3043148</v>
      </c>
      <c r="BK14" s="298"/>
      <c r="BL14" s="299"/>
      <c r="BM14" s="299"/>
      <c r="BN14" s="300"/>
    </row>
    <row r="15" spans="1:66" s="301" customFormat="1" ht="18" x14ac:dyDescent="0.25">
      <c r="A15" s="268"/>
      <c r="B15" s="294"/>
      <c r="C15" s="291"/>
      <c r="D15" s="289"/>
      <c r="E15" s="290"/>
      <c r="F15" s="289"/>
      <c r="G15" s="290"/>
      <c r="H15" s="289"/>
      <c r="I15" s="290"/>
      <c r="J15" s="289"/>
      <c r="K15" s="290"/>
      <c r="L15" s="289"/>
      <c r="M15" s="290"/>
      <c r="N15" s="289"/>
      <c r="O15" s="290"/>
      <c r="P15" s="289"/>
      <c r="Q15" s="290"/>
      <c r="R15" s="289"/>
      <c r="S15" s="290"/>
      <c r="T15" s="289"/>
      <c r="U15" s="290"/>
      <c r="V15" s="289"/>
      <c r="W15" s="290"/>
      <c r="X15" s="289"/>
      <c r="Y15" s="290"/>
      <c r="Z15" s="290"/>
      <c r="AA15" s="289"/>
      <c r="AB15" s="290"/>
      <c r="AC15" s="289"/>
      <c r="AD15" s="290"/>
      <c r="AE15" s="289"/>
      <c r="AF15" s="290"/>
      <c r="AG15" s="289"/>
      <c r="AH15" s="290"/>
      <c r="AI15" s="289"/>
      <c r="AJ15" s="290"/>
      <c r="AK15" s="289"/>
      <c r="AL15" s="290"/>
      <c r="AM15" s="289"/>
      <c r="AN15" s="290"/>
      <c r="AO15" s="289"/>
      <c r="AP15" s="290"/>
      <c r="AQ15" s="289"/>
      <c r="AR15" s="290"/>
      <c r="AS15" s="289"/>
      <c r="AT15" s="290"/>
      <c r="AU15" s="290"/>
      <c r="AV15" s="289"/>
      <c r="AW15" s="290"/>
      <c r="AX15" s="289"/>
      <c r="AY15" s="290"/>
      <c r="AZ15" s="289"/>
      <c r="BA15" s="290"/>
      <c r="BB15" s="289"/>
      <c r="BC15" s="290"/>
      <c r="BD15" s="289"/>
      <c r="BE15" s="290"/>
      <c r="BF15" s="289"/>
      <c r="BG15" s="290"/>
      <c r="BH15" s="289"/>
      <c r="BI15" s="291"/>
      <c r="BJ15" s="292"/>
      <c r="BK15" s="291"/>
      <c r="BL15" s="299"/>
      <c r="BM15" s="299"/>
      <c r="BN15" s="300"/>
    </row>
    <row r="16" spans="1:66" s="301" customFormat="1" ht="36" x14ac:dyDescent="0.25">
      <c r="A16" s="268" t="s">
        <v>675</v>
      </c>
      <c r="B16" s="294" t="s">
        <v>676</v>
      </c>
      <c r="C16" s="291"/>
      <c r="D16" s="289">
        <f>SUM('MCS Budget - Detailed'!N50:N55)</f>
        <v>266090</v>
      </c>
      <c r="E16" s="290"/>
      <c r="F16" s="289">
        <f>SUM('CCS Budget - Detailed'!H23:H27)</f>
        <v>118601</v>
      </c>
      <c r="G16" s="290"/>
      <c r="H16" s="289">
        <v>0</v>
      </c>
      <c r="I16" s="290"/>
      <c r="J16" s="289">
        <f>'MCS Budget - Detailed'!N858</f>
        <v>0</v>
      </c>
      <c r="K16" s="290"/>
      <c r="L16" s="289">
        <v>0</v>
      </c>
      <c r="M16" s="290"/>
      <c r="N16" s="289">
        <f>'MCS Budget - Detailed'!N929+'MCS Budget - Detailed'!N930+'MCS Budget - Detailed'!N931+'MCS Budget - Detailed'!N932</f>
        <v>79824</v>
      </c>
      <c r="O16" s="290"/>
      <c r="P16" s="289">
        <v>0</v>
      </c>
      <c r="Q16" s="290"/>
      <c r="R16" s="289">
        <v>0</v>
      </c>
      <c r="S16" s="290"/>
      <c r="T16" s="289">
        <v>0</v>
      </c>
      <c r="U16" s="290"/>
      <c r="V16" s="289">
        <v>0</v>
      </c>
      <c r="W16" s="290"/>
      <c r="X16" s="289">
        <v>0</v>
      </c>
      <c r="Y16" s="290"/>
      <c r="Z16" s="290"/>
      <c r="AA16" s="289">
        <v>0</v>
      </c>
      <c r="AB16" s="290"/>
      <c r="AC16" s="289">
        <v>0</v>
      </c>
      <c r="AD16" s="290"/>
      <c r="AE16" s="289">
        <v>0</v>
      </c>
      <c r="AF16" s="290"/>
      <c r="AG16" s="289">
        <v>0</v>
      </c>
      <c r="AH16" s="290"/>
      <c r="AI16" s="289">
        <v>0</v>
      </c>
      <c r="AJ16" s="290"/>
      <c r="AK16" s="289">
        <v>0</v>
      </c>
      <c r="AL16" s="290"/>
      <c r="AM16" s="289">
        <v>0</v>
      </c>
      <c r="AN16" s="290"/>
      <c r="AO16" s="289">
        <v>0</v>
      </c>
      <c r="AP16" s="290"/>
      <c r="AQ16" s="289">
        <v>0</v>
      </c>
      <c r="AR16" s="290"/>
      <c r="AS16" s="289">
        <v>0</v>
      </c>
      <c r="AT16" s="290"/>
      <c r="AU16" s="290"/>
      <c r="AV16" s="289">
        <v>0</v>
      </c>
      <c r="AW16" s="290"/>
      <c r="AX16" s="289">
        <v>0</v>
      </c>
      <c r="AY16" s="290"/>
      <c r="AZ16" s="289">
        <v>0</v>
      </c>
      <c r="BA16" s="290"/>
      <c r="BB16" s="289">
        <v>0</v>
      </c>
      <c r="BC16" s="290"/>
      <c r="BD16" s="289">
        <v>0</v>
      </c>
      <c r="BE16" s="290"/>
      <c r="BF16" s="289">
        <v>0</v>
      </c>
      <c r="BG16" s="290"/>
      <c r="BH16" s="289">
        <v>0</v>
      </c>
      <c r="BI16" s="291"/>
      <c r="BJ16" s="292">
        <f>D16+F16+H16+J16+X16+N16+P16+R16+T16+V16+AA16+AC16+AG16+AI16+AK16+AM16+AO16+AQ16+AS16+AV16+AX16+AZ16+BB16+BD16+BH16+BF16+AE16</f>
        <v>464515</v>
      </c>
      <c r="BK16" s="291"/>
      <c r="BL16" s="299"/>
      <c r="BM16" s="299"/>
      <c r="BN16" s="300"/>
    </row>
    <row r="17" spans="1:66" s="301" customFormat="1" ht="18.75" thickBot="1" x14ac:dyDescent="0.3">
      <c r="A17" s="268"/>
      <c r="B17" s="294"/>
      <c r="C17" s="291"/>
      <c r="D17" s="302"/>
      <c r="E17" s="290"/>
      <c r="F17" s="302"/>
      <c r="G17" s="290"/>
      <c r="H17" s="302"/>
      <c r="I17" s="290"/>
      <c r="J17" s="302"/>
      <c r="K17" s="290"/>
      <c r="L17" s="289"/>
      <c r="M17" s="290"/>
      <c r="N17" s="302"/>
      <c r="O17" s="290"/>
      <c r="P17" s="302"/>
      <c r="Q17" s="290"/>
      <c r="R17" s="302"/>
      <c r="S17" s="290"/>
      <c r="T17" s="302"/>
      <c r="U17" s="290"/>
      <c r="V17" s="302"/>
      <c r="W17" s="290"/>
      <c r="X17" s="302"/>
      <c r="Y17" s="290"/>
      <c r="Z17" s="290"/>
      <c r="AA17" s="302"/>
      <c r="AB17" s="290"/>
      <c r="AC17" s="302"/>
      <c r="AD17" s="290"/>
      <c r="AE17" s="302"/>
      <c r="AF17" s="290"/>
      <c r="AG17" s="302"/>
      <c r="AH17" s="290"/>
      <c r="AI17" s="302"/>
      <c r="AJ17" s="290"/>
      <c r="AK17" s="302"/>
      <c r="AL17" s="290"/>
      <c r="AM17" s="302"/>
      <c r="AN17" s="290"/>
      <c r="AO17" s="302"/>
      <c r="AP17" s="290"/>
      <c r="AQ17" s="302"/>
      <c r="AR17" s="290"/>
      <c r="AS17" s="302"/>
      <c r="AT17" s="290"/>
      <c r="AU17" s="290"/>
      <c r="AV17" s="302"/>
      <c r="AW17" s="290"/>
      <c r="AX17" s="302"/>
      <c r="AY17" s="290"/>
      <c r="AZ17" s="302"/>
      <c r="BA17" s="290"/>
      <c r="BB17" s="302"/>
      <c r="BC17" s="290"/>
      <c r="BD17" s="302"/>
      <c r="BE17" s="290"/>
      <c r="BF17" s="302"/>
      <c r="BG17" s="290"/>
      <c r="BH17" s="302"/>
      <c r="BI17" s="291"/>
      <c r="BJ17" s="292"/>
      <c r="BK17" s="291"/>
      <c r="BL17" s="299"/>
      <c r="BM17" s="299"/>
      <c r="BN17" s="300"/>
    </row>
    <row r="18" spans="1:66" s="301" customFormat="1" ht="18.75" thickBot="1" x14ac:dyDescent="0.3">
      <c r="A18" s="303" t="s">
        <v>677</v>
      </c>
      <c r="B18" s="304"/>
      <c r="C18" s="305"/>
      <c r="D18" s="306">
        <f>SUM(D10:D17)</f>
        <v>4459589</v>
      </c>
      <c r="E18" s="307"/>
      <c r="F18" s="306">
        <f>SUM(F10:F17)</f>
        <v>334801</v>
      </c>
      <c r="G18" s="307"/>
      <c r="H18" s="306">
        <f>SUM(H10:H17)</f>
        <v>0</v>
      </c>
      <c r="I18" s="307"/>
      <c r="J18" s="306">
        <f>SUM(J10:J17)</f>
        <v>814</v>
      </c>
      <c r="K18" s="307"/>
      <c r="L18" s="306">
        <f>SUM(L10:L17)</f>
        <v>0</v>
      </c>
      <c r="M18" s="307"/>
      <c r="N18" s="306">
        <f>SUM(N10:N17)</f>
        <v>89499</v>
      </c>
      <c r="O18" s="307"/>
      <c r="P18" s="306">
        <f>SUM(P10:P17)</f>
        <v>0</v>
      </c>
      <c r="Q18" s="307"/>
      <c r="R18" s="306">
        <f>SUM(R10:R17)</f>
        <v>180047</v>
      </c>
      <c r="S18" s="307"/>
      <c r="T18" s="306">
        <f>SUM(T10:T17)</f>
        <v>0</v>
      </c>
      <c r="U18" s="307"/>
      <c r="V18" s="306">
        <f>SUM(V10:V17)</f>
        <v>0</v>
      </c>
      <c r="W18" s="307"/>
      <c r="X18" s="306">
        <f>SUM(X10:X17)</f>
        <v>0</v>
      </c>
      <c r="Y18" s="307"/>
      <c r="Z18" s="307"/>
      <c r="AA18" s="306">
        <f>SUM(AA10:AA17)</f>
        <v>0</v>
      </c>
      <c r="AB18" s="307"/>
      <c r="AC18" s="306">
        <f>SUM(AC10:AC17)</f>
        <v>400777</v>
      </c>
      <c r="AD18" s="307"/>
      <c r="AE18" s="306">
        <f>SUM(AE10:AE17)</f>
        <v>0</v>
      </c>
      <c r="AF18" s="307"/>
      <c r="AG18" s="306">
        <f>SUM(AG10:AG17)</f>
        <v>0</v>
      </c>
      <c r="AH18" s="307"/>
      <c r="AI18" s="306">
        <f>SUM(AI10:AI17)</f>
        <v>0</v>
      </c>
      <c r="AJ18" s="307"/>
      <c r="AK18" s="306">
        <f>SUM(AK10:AK17)</f>
        <v>3860</v>
      </c>
      <c r="AL18" s="307"/>
      <c r="AM18" s="306">
        <f>SUM(AM10:AM17)</f>
        <v>0</v>
      </c>
      <c r="AN18" s="307"/>
      <c r="AO18" s="306">
        <f>SUM(AO10:AO17)</f>
        <v>0</v>
      </c>
      <c r="AP18" s="307"/>
      <c r="AQ18" s="306">
        <f>SUM(AQ10:AQ17)</f>
        <v>0</v>
      </c>
      <c r="AR18" s="307"/>
      <c r="AS18" s="306">
        <f>SUM(AS10:AS17)</f>
        <v>0</v>
      </c>
      <c r="AT18" s="307"/>
      <c r="AU18" s="307"/>
      <c r="AV18" s="306">
        <f>SUM(AV10:AV17)</f>
        <v>0</v>
      </c>
      <c r="AW18" s="307"/>
      <c r="AX18" s="306">
        <f>SUM(AX10:AX17)</f>
        <v>0</v>
      </c>
      <c r="AY18" s="307"/>
      <c r="AZ18" s="306">
        <f>SUM(AZ10:AZ17)</f>
        <v>0</v>
      </c>
      <c r="BA18" s="307"/>
      <c r="BB18" s="306">
        <f>SUM(BB10:BB17)</f>
        <v>0</v>
      </c>
      <c r="BC18" s="307"/>
      <c r="BD18" s="306">
        <f>SUM(BD10:BD17)</f>
        <v>0</v>
      </c>
      <c r="BE18" s="307"/>
      <c r="BF18" s="306">
        <f>SUM(BF10:BF17)</f>
        <v>0</v>
      </c>
      <c r="BG18" s="307"/>
      <c r="BH18" s="306">
        <f>SUM(BH10:BH17)</f>
        <v>0</v>
      </c>
      <c r="BI18" s="307"/>
      <c r="BJ18" s="306">
        <f>D18+F18+H18+J18+X18+N18+P18+R18+T18+V18+AA18+AC18+AG18+AI18+AK18+AM18+AO18+AQ18+AS18+AV18+AX18+AZ18+BB18+BD18+BH18+BF18+AE18</f>
        <v>5469387</v>
      </c>
      <c r="BK18" s="307"/>
      <c r="BL18" s="308"/>
      <c r="BM18" s="308"/>
      <c r="BN18" s="300"/>
    </row>
    <row r="19" spans="1:66" s="301" customFormat="1" ht="18" x14ac:dyDescent="0.25">
      <c r="A19" s="268"/>
      <c r="B19" s="294"/>
      <c r="C19" s="291"/>
      <c r="D19" s="292"/>
      <c r="E19" s="291"/>
      <c r="F19" s="292"/>
      <c r="G19" s="291"/>
      <c r="H19" s="292"/>
      <c r="I19" s="291"/>
      <c r="J19" s="292"/>
      <c r="K19" s="291"/>
      <c r="L19" s="309"/>
      <c r="M19" s="291"/>
      <c r="N19" s="292"/>
      <c r="O19" s="291"/>
      <c r="P19" s="292"/>
      <c r="Q19" s="291"/>
      <c r="R19" s="292"/>
      <c r="S19" s="291"/>
      <c r="T19" s="292"/>
      <c r="U19" s="291"/>
      <c r="V19" s="292"/>
      <c r="W19" s="291"/>
      <c r="X19" s="292"/>
      <c r="Y19" s="291"/>
      <c r="Z19" s="291"/>
      <c r="AA19" s="292"/>
      <c r="AB19" s="291"/>
      <c r="AC19" s="292"/>
      <c r="AD19" s="291"/>
      <c r="AE19" s="292"/>
      <c r="AF19" s="291"/>
      <c r="AG19" s="292"/>
      <c r="AH19" s="291"/>
      <c r="AI19" s="292"/>
      <c r="AJ19" s="291"/>
      <c r="AK19" s="292"/>
      <c r="AL19" s="291"/>
      <c r="AM19" s="292"/>
      <c r="AN19" s="291"/>
      <c r="AO19" s="292"/>
      <c r="AP19" s="291"/>
      <c r="AQ19" s="292"/>
      <c r="AR19" s="291"/>
      <c r="AS19" s="292"/>
      <c r="AT19" s="291"/>
      <c r="AU19" s="291"/>
      <c r="AV19" s="292"/>
      <c r="AW19" s="291"/>
      <c r="AX19" s="292"/>
      <c r="AY19" s="291"/>
      <c r="AZ19" s="292"/>
      <c r="BA19" s="291"/>
      <c r="BB19" s="292"/>
      <c r="BC19" s="291"/>
      <c r="BD19" s="292"/>
      <c r="BE19" s="291"/>
      <c r="BF19" s="292"/>
      <c r="BG19" s="291"/>
      <c r="BH19" s="292"/>
      <c r="BI19" s="291"/>
      <c r="BJ19" s="292"/>
      <c r="BK19" s="310"/>
      <c r="BL19" s="299"/>
      <c r="BM19" s="299"/>
      <c r="BN19" s="300"/>
    </row>
    <row r="20" spans="1:66" s="301" customFormat="1" ht="18.75" thickBot="1" x14ac:dyDescent="0.3">
      <c r="A20" s="268"/>
      <c r="B20" s="294"/>
      <c r="C20" s="311"/>
      <c r="D20" s="292"/>
      <c r="E20" s="291"/>
      <c r="F20" s="292"/>
      <c r="G20" s="291"/>
      <c r="H20" s="292"/>
      <c r="I20" s="291"/>
      <c r="J20" s="292"/>
      <c r="K20" s="291"/>
      <c r="L20" s="309"/>
      <c r="M20" s="291"/>
      <c r="N20" s="292"/>
      <c r="O20" s="291"/>
      <c r="P20" s="292"/>
      <c r="Q20" s="291"/>
      <c r="R20" s="292"/>
      <c r="S20" s="291"/>
      <c r="T20" s="292"/>
      <c r="U20" s="291"/>
      <c r="V20" s="292"/>
      <c r="W20" s="291"/>
      <c r="X20" s="292"/>
      <c r="Y20" s="291"/>
      <c r="Z20" s="291"/>
      <c r="AA20" s="292"/>
      <c r="AB20" s="291"/>
      <c r="AC20" s="292"/>
      <c r="AD20" s="291"/>
      <c r="AE20" s="292"/>
      <c r="AF20" s="291"/>
      <c r="AG20" s="292"/>
      <c r="AH20" s="291"/>
      <c r="AI20" s="292"/>
      <c r="AJ20" s="291"/>
      <c r="AK20" s="292"/>
      <c r="AL20" s="291"/>
      <c r="AM20" s="292"/>
      <c r="AN20" s="291"/>
      <c r="AO20" s="292"/>
      <c r="AP20" s="291"/>
      <c r="AQ20" s="292"/>
      <c r="AR20" s="291"/>
      <c r="AS20" s="292"/>
      <c r="AT20" s="291"/>
      <c r="AU20" s="291"/>
      <c r="AV20" s="292"/>
      <c r="AW20" s="291"/>
      <c r="AX20" s="292"/>
      <c r="AY20" s="291"/>
      <c r="AZ20" s="292"/>
      <c r="BA20" s="291"/>
      <c r="BB20" s="292"/>
      <c r="BC20" s="291"/>
      <c r="BD20" s="292"/>
      <c r="BE20" s="291"/>
      <c r="BF20" s="292"/>
      <c r="BG20" s="291"/>
      <c r="BH20" s="292"/>
      <c r="BI20" s="291"/>
      <c r="BJ20" s="292"/>
      <c r="BK20" s="291"/>
      <c r="BL20" s="299"/>
      <c r="BM20" s="299"/>
      <c r="BN20" s="300"/>
    </row>
    <row r="21" spans="1:66" s="301" customFormat="1" ht="36.75" thickBot="1" x14ac:dyDescent="0.3">
      <c r="A21" s="303" t="s">
        <v>678</v>
      </c>
      <c r="B21" s="312"/>
      <c r="C21" s="307"/>
      <c r="D21" s="306">
        <f>D7+D18</f>
        <v>6353840</v>
      </c>
      <c r="E21" s="307"/>
      <c r="F21" s="306">
        <f>F7+F18</f>
        <v>1161063</v>
      </c>
      <c r="G21" s="307"/>
      <c r="H21" s="306">
        <f>H7+H18</f>
        <v>0</v>
      </c>
      <c r="I21" s="307"/>
      <c r="J21" s="306">
        <f>J7+J18</f>
        <v>34401</v>
      </c>
      <c r="K21" s="307"/>
      <c r="L21" s="306">
        <f>L7+L18</f>
        <v>0</v>
      </c>
      <c r="M21" s="307"/>
      <c r="N21" s="306">
        <f>N7+N18</f>
        <v>111297</v>
      </c>
      <c r="O21" s="307"/>
      <c r="P21" s="306">
        <f>P7+P18</f>
        <v>0</v>
      </c>
      <c r="Q21" s="307"/>
      <c r="R21" s="306">
        <f>R7+R18</f>
        <v>222244</v>
      </c>
      <c r="S21" s="307"/>
      <c r="T21" s="306">
        <f>T7+T18</f>
        <v>0</v>
      </c>
      <c r="U21" s="307"/>
      <c r="V21" s="306">
        <f>V7+V18</f>
        <v>0</v>
      </c>
      <c r="W21" s="307"/>
      <c r="X21" s="306">
        <f>X7+X18</f>
        <v>0</v>
      </c>
      <c r="Y21" s="307"/>
      <c r="Z21" s="307"/>
      <c r="AA21" s="306">
        <f>AA7+AA18</f>
        <v>0</v>
      </c>
      <c r="AB21" s="307"/>
      <c r="AC21" s="306">
        <f>AC7+AC18</f>
        <v>973199</v>
      </c>
      <c r="AD21" s="307"/>
      <c r="AE21" s="306">
        <f>AE7+AE18</f>
        <v>0</v>
      </c>
      <c r="AF21" s="307"/>
      <c r="AG21" s="306">
        <f>AG7+AG18</f>
        <v>0</v>
      </c>
      <c r="AH21" s="307"/>
      <c r="AI21" s="306">
        <f>AI7+AI18</f>
        <v>0</v>
      </c>
      <c r="AJ21" s="307"/>
      <c r="AK21" s="306">
        <f>AK7+AK18</f>
        <v>422633</v>
      </c>
      <c r="AL21" s="307"/>
      <c r="AM21" s="306">
        <f>AM7+AM18</f>
        <v>0</v>
      </c>
      <c r="AN21" s="307"/>
      <c r="AO21" s="306">
        <f>AO7+AO18</f>
        <v>0</v>
      </c>
      <c r="AP21" s="307"/>
      <c r="AQ21" s="306">
        <f>AQ7+AQ18</f>
        <v>0</v>
      </c>
      <c r="AR21" s="307"/>
      <c r="AS21" s="306">
        <f>AS7+AS18</f>
        <v>0</v>
      </c>
      <c r="AT21" s="307"/>
      <c r="AU21" s="307"/>
      <c r="AV21" s="306">
        <f>AV7+AV18</f>
        <v>0</v>
      </c>
      <c r="AW21" s="307"/>
      <c r="AX21" s="306">
        <f>AX7+AX18</f>
        <v>0</v>
      </c>
      <c r="AY21" s="307"/>
      <c r="AZ21" s="306">
        <f>AZ7+AZ18</f>
        <v>0</v>
      </c>
      <c r="BA21" s="307"/>
      <c r="BB21" s="306">
        <f>BB7+BB18</f>
        <v>0</v>
      </c>
      <c r="BC21" s="307"/>
      <c r="BD21" s="306">
        <f>BD7+BD18</f>
        <v>0</v>
      </c>
      <c r="BE21" s="307"/>
      <c r="BF21" s="306">
        <f>BF7+BF18</f>
        <v>0</v>
      </c>
      <c r="BG21" s="307"/>
      <c r="BH21" s="306">
        <f>BH7+BH18</f>
        <v>0</v>
      </c>
      <c r="BI21" s="307"/>
      <c r="BJ21" s="306">
        <f>D21+F21+H21+J21+X21+N21+P21+R21+T21+V21+AA21+AC21+AG21+AI21+AK21+AM21+AO21+AQ21+AS21+AV21+AX21+AZ21+BB21+BD21+BH21+BF21+AE21</f>
        <v>9278677</v>
      </c>
      <c r="BK21" s="307"/>
      <c r="BL21" s="308"/>
      <c r="BM21" s="308"/>
      <c r="BN21" s="300"/>
    </row>
    <row r="22" spans="1:66" s="301" customFormat="1" ht="18" x14ac:dyDescent="0.25">
      <c r="A22" s="268" t="s">
        <v>679</v>
      </c>
      <c r="B22" s="294"/>
      <c r="C22" s="298"/>
      <c r="D22" s="292"/>
      <c r="E22" s="291"/>
      <c r="F22" s="292"/>
      <c r="G22" s="291"/>
      <c r="H22" s="292"/>
      <c r="I22" s="291"/>
      <c r="J22" s="292"/>
      <c r="K22" s="291"/>
      <c r="L22" s="309"/>
      <c r="M22" s="291"/>
      <c r="N22" s="292"/>
      <c r="O22" s="291"/>
      <c r="P22" s="292"/>
      <c r="Q22" s="291"/>
      <c r="R22" s="292"/>
      <c r="S22" s="291"/>
      <c r="T22" s="292"/>
      <c r="U22" s="291"/>
      <c r="V22" s="292"/>
      <c r="W22" s="291"/>
      <c r="X22" s="292"/>
      <c r="Y22" s="291"/>
      <c r="Z22" s="291"/>
      <c r="AA22" s="292"/>
      <c r="AB22" s="291"/>
      <c r="AC22" s="292"/>
      <c r="AD22" s="291"/>
      <c r="AE22" s="292"/>
      <c r="AF22" s="291"/>
      <c r="AG22" s="292"/>
      <c r="AH22" s="291"/>
      <c r="AI22" s="292"/>
      <c r="AJ22" s="291"/>
      <c r="AK22" s="292"/>
      <c r="AL22" s="291"/>
      <c r="AM22" s="292"/>
      <c r="AN22" s="291"/>
      <c r="AO22" s="292"/>
      <c r="AP22" s="291"/>
      <c r="AQ22" s="292"/>
      <c r="AR22" s="291"/>
      <c r="AS22" s="292"/>
      <c r="AT22" s="291"/>
      <c r="AU22" s="291"/>
      <c r="AV22" s="292"/>
      <c r="AW22" s="291"/>
      <c r="AX22" s="292"/>
      <c r="AY22" s="291"/>
      <c r="AZ22" s="292"/>
      <c r="BA22" s="291"/>
      <c r="BB22" s="292"/>
      <c r="BC22" s="291"/>
      <c r="BD22" s="292"/>
      <c r="BE22" s="291"/>
      <c r="BF22" s="292"/>
      <c r="BG22" s="291"/>
      <c r="BH22" s="292"/>
      <c r="BI22" s="291"/>
      <c r="BJ22" s="300"/>
      <c r="BK22" s="298"/>
      <c r="BL22" s="299"/>
      <c r="BM22" s="299"/>
      <c r="BN22" s="300"/>
    </row>
    <row r="23" spans="1:66" s="301" customFormat="1" ht="36" x14ac:dyDescent="0.25">
      <c r="A23" s="268" t="s">
        <v>680</v>
      </c>
      <c r="B23" s="294" t="s">
        <v>681</v>
      </c>
      <c r="C23" s="288"/>
      <c r="D23" s="313">
        <f>SUM('MCS Budget - Detailed'!N60:N61)</f>
        <v>-1491315</v>
      </c>
      <c r="E23" s="290"/>
      <c r="F23" s="313">
        <f>'CCS Budget - Detailed'!H28</f>
        <v>1247136</v>
      </c>
      <c r="G23" s="290"/>
      <c r="H23" s="313">
        <v>0</v>
      </c>
      <c r="I23" s="290"/>
      <c r="J23" s="313">
        <f>'MCS Budget - Detailed'!N859</f>
        <v>166750</v>
      </c>
      <c r="K23" s="290"/>
      <c r="L23" s="289"/>
      <c r="M23" s="290"/>
      <c r="N23" s="313">
        <f>'MCS Budget - Detailed'!N933</f>
        <v>62000</v>
      </c>
      <c r="O23" s="290"/>
      <c r="P23" s="313">
        <v>0</v>
      </c>
      <c r="Q23" s="290"/>
      <c r="R23" s="313">
        <v>0</v>
      </c>
      <c r="S23" s="290"/>
      <c r="T23" s="313">
        <v>0</v>
      </c>
      <c r="U23" s="290"/>
      <c r="V23" s="313">
        <v>0</v>
      </c>
      <c r="W23" s="290"/>
      <c r="X23" s="313">
        <v>0</v>
      </c>
      <c r="Y23" s="290"/>
      <c r="Z23" s="290"/>
      <c r="AA23" s="313">
        <v>0</v>
      </c>
      <c r="AB23" s="290"/>
      <c r="AC23" s="313">
        <v>0</v>
      </c>
      <c r="AD23" s="290"/>
      <c r="AE23" s="313">
        <v>0</v>
      </c>
      <c r="AF23" s="290"/>
      <c r="AG23" s="313">
        <v>0</v>
      </c>
      <c r="AH23" s="290"/>
      <c r="AI23" s="313">
        <v>0</v>
      </c>
      <c r="AJ23" s="290"/>
      <c r="AK23" s="313">
        <v>0</v>
      </c>
      <c r="AL23" s="290"/>
      <c r="AM23" s="313">
        <v>0</v>
      </c>
      <c r="AN23" s="290"/>
      <c r="AO23" s="313">
        <v>0</v>
      </c>
      <c r="AP23" s="290"/>
      <c r="AQ23" s="313">
        <v>0</v>
      </c>
      <c r="AR23" s="290"/>
      <c r="AS23" s="313">
        <v>0</v>
      </c>
      <c r="AT23" s="290"/>
      <c r="AU23" s="290"/>
      <c r="AV23" s="313">
        <v>0</v>
      </c>
      <c r="AW23" s="290"/>
      <c r="AX23" s="313">
        <v>0</v>
      </c>
      <c r="AY23" s="290"/>
      <c r="AZ23" s="313">
        <v>0</v>
      </c>
      <c r="BA23" s="290"/>
      <c r="BB23" s="313">
        <v>0</v>
      </c>
      <c r="BC23" s="290"/>
      <c r="BD23" s="313">
        <v>0</v>
      </c>
      <c r="BE23" s="290"/>
      <c r="BF23" s="313">
        <v>0</v>
      </c>
      <c r="BG23" s="290"/>
      <c r="BH23" s="313">
        <v>0</v>
      </c>
      <c r="BI23" s="291"/>
      <c r="BJ23" s="292">
        <f>D23+F23+H23+J23+X23+N23+P23+R23+T23+V23+AA23+AC23+AG23+AI23+AK23+AM23+AO23+AQ23+AS23+AV23+AX23+AZ23+BB23+BD23+BH23+BF23+AE23</f>
        <v>-15429</v>
      </c>
      <c r="BK23" s="293"/>
      <c r="BL23" s="299"/>
      <c r="BM23" s="299"/>
      <c r="BN23" s="300"/>
    </row>
    <row r="24" spans="1:66" s="301" customFormat="1" ht="18" x14ac:dyDescent="0.25">
      <c r="A24" s="268"/>
      <c r="B24" s="294"/>
      <c r="C24" s="288"/>
      <c r="D24" s="289"/>
      <c r="E24" s="290"/>
      <c r="F24" s="289"/>
      <c r="G24" s="290"/>
      <c r="H24" s="289"/>
      <c r="I24" s="290"/>
      <c r="J24" s="289"/>
      <c r="K24" s="290"/>
      <c r="L24" s="289"/>
      <c r="M24" s="290"/>
      <c r="N24" s="289"/>
      <c r="O24" s="290"/>
      <c r="P24" s="289"/>
      <c r="Q24" s="290"/>
      <c r="R24" s="289"/>
      <c r="S24" s="290"/>
      <c r="T24" s="289"/>
      <c r="U24" s="290"/>
      <c r="V24" s="289"/>
      <c r="W24" s="290"/>
      <c r="X24" s="289"/>
      <c r="Y24" s="290"/>
      <c r="Z24" s="290"/>
      <c r="AA24" s="289"/>
      <c r="AB24" s="290"/>
      <c r="AC24" s="289"/>
      <c r="AD24" s="290"/>
      <c r="AE24" s="289"/>
      <c r="AF24" s="290"/>
      <c r="AG24" s="289"/>
      <c r="AH24" s="290"/>
      <c r="AI24" s="289"/>
      <c r="AJ24" s="290"/>
      <c r="AK24" s="289"/>
      <c r="AL24" s="290"/>
      <c r="AM24" s="289"/>
      <c r="AN24" s="290"/>
      <c r="AO24" s="289"/>
      <c r="AP24" s="290"/>
      <c r="AQ24" s="289"/>
      <c r="AR24" s="290"/>
      <c r="AS24" s="289"/>
      <c r="AT24" s="290"/>
      <c r="AU24" s="290"/>
      <c r="AV24" s="289"/>
      <c r="AW24" s="290"/>
      <c r="AX24" s="289"/>
      <c r="AY24" s="290"/>
      <c r="AZ24" s="289"/>
      <c r="BA24" s="290"/>
      <c r="BB24" s="289"/>
      <c r="BC24" s="290"/>
      <c r="BD24" s="289"/>
      <c r="BE24" s="290"/>
      <c r="BF24" s="289"/>
      <c r="BG24" s="290"/>
      <c r="BH24" s="289"/>
      <c r="BI24" s="291"/>
      <c r="BJ24" s="292"/>
      <c r="BK24" s="298"/>
      <c r="BL24" s="299"/>
      <c r="BM24" s="299"/>
      <c r="BN24" s="300"/>
    </row>
    <row r="25" spans="1:66" s="301" customFormat="1" ht="36" x14ac:dyDescent="0.25">
      <c r="A25" s="268" t="s">
        <v>682</v>
      </c>
      <c r="B25" s="314" t="s">
        <v>683</v>
      </c>
      <c r="C25" s="288"/>
      <c r="D25" s="289">
        <f>SUM('MCS Budget - Detailed'!N56:N57)</f>
        <v>-162000</v>
      </c>
      <c r="E25" s="290"/>
      <c r="F25" s="289">
        <f>-'CCS Budget - Detailed'!H34</f>
        <v>-168465</v>
      </c>
      <c r="G25" s="290"/>
      <c r="H25" s="289">
        <v>0</v>
      </c>
      <c r="I25" s="290"/>
      <c r="J25" s="289">
        <v>0</v>
      </c>
      <c r="K25" s="290"/>
      <c r="L25" s="289">
        <v>0</v>
      </c>
      <c r="M25" s="290"/>
      <c r="N25" s="289">
        <v>0</v>
      </c>
      <c r="O25" s="290"/>
      <c r="P25" s="289">
        <v>0</v>
      </c>
      <c r="Q25" s="290"/>
      <c r="R25" s="289">
        <v>0</v>
      </c>
      <c r="S25" s="290"/>
      <c r="T25" s="289">
        <v>0</v>
      </c>
      <c r="U25" s="290"/>
      <c r="V25" s="289">
        <v>0</v>
      </c>
      <c r="W25" s="290"/>
      <c r="X25" s="289">
        <v>0</v>
      </c>
      <c r="Y25" s="290"/>
      <c r="Z25" s="290"/>
      <c r="AA25" s="289">
        <v>0</v>
      </c>
      <c r="AB25" s="290"/>
      <c r="AC25" s="289">
        <v>0</v>
      </c>
      <c r="AD25" s="290"/>
      <c r="AE25" s="289">
        <v>0</v>
      </c>
      <c r="AF25" s="290"/>
      <c r="AG25" s="289">
        <v>0</v>
      </c>
      <c r="AH25" s="290"/>
      <c r="AI25" s="289">
        <v>0</v>
      </c>
      <c r="AJ25" s="290"/>
      <c r="AK25" s="289">
        <f>'MCS Budget - Detailed'!N1009+'CCS Budget - Detailed'!J351+'CCS Budget - Detailed'!J352</f>
        <v>268465</v>
      </c>
      <c r="AL25" s="290"/>
      <c r="AM25" s="289">
        <v>0</v>
      </c>
      <c r="AN25" s="290"/>
      <c r="AO25" s="289">
        <v>0</v>
      </c>
      <c r="AP25" s="290"/>
      <c r="AQ25" s="289">
        <v>0</v>
      </c>
      <c r="AR25" s="290"/>
      <c r="AS25" s="289">
        <v>0</v>
      </c>
      <c r="AT25" s="290"/>
      <c r="AU25" s="290"/>
      <c r="AV25" s="289">
        <v>0</v>
      </c>
      <c r="AW25" s="290"/>
      <c r="AX25" s="289">
        <v>0</v>
      </c>
      <c r="AY25" s="290"/>
      <c r="AZ25" s="289">
        <v>0</v>
      </c>
      <c r="BA25" s="290"/>
      <c r="BB25" s="289">
        <v>0</v>
      </c>
      <c r="BC25" s="290"/>
      <c r="BD25" s="289">
        <v>0</v>
      </c>
      <c r="BE25" s="290"/>
      <c r="BF25" s="289">
        <v>0</v>
      </c>
      <c r="BG25" s="290"/>
      <c r="BH25" s="289">
        <v>0</v>
      </c>
      <c r="BI25" s="291"/>
      <c r="BJ25" s="292">
        <f>D25+F25+H25+J25+X25+N25+P25+R25+T25+V25+AA25+AC25+AG25+AI25+AK25+AM25+AO25+AQ25+AS25+AV25+AX25+AZ25+BB25+BD25+BH25+BF25+AE25</f>
        <v>-62000</v>
      </c>
      <c r="BK25" s="293"/>
      <c r="BL25" s="299"/>
      <c r="BM25" s="299"/>
      <c r="BN25" s="300"/>
    </row>
    <row r="26" spans="1:66" s="301" customFormat="1" ht="18" x14ac:dyDescent="0.25">
      <c r="A26" s="268"/>
      <c r="B26" s="294"/>
      <c r="C26" s="288"/>
      <c r="D26" s="289"/>
      <c r="E26" s="290"/>
      <c r="F26" s="289"/>
      <c r="G26" s="290"/>
      <c r="H26" s="289"/>
      <c r="I26" s="290"/>
      <c r="J26" s="289"/>
      <c r="K26" s="290"/>
      <c r="L26" s="289"/>
      <c r="M26" s="290"/>
      <c r="N26" s="289"/>
      <c r="O26" s="290"/>
      <c r="P26" s="289"/>
      <c r="Q26" s="290"/>
      <c r="R26" s="289"/>
      <c r="S26" s="290"/>
      <c r="T26" s="289"/>
      <c r="U26" s="290"/>
      <c r="V26" s="289"/>
      <c r="W26" s="290"/>
      <c r="X26" s="289"/>
      <c r="Y26" s="290"/>
      <c r="Z26" s="290"/>
      <c r="AA26" s="289"/>
      <c r="AB26" s="290"/>
      <c r="AC26" s="289"/>
      <c r="AD26" s="290"/>
      <c r="AE26" s="289"/>
      <c r="AF26" s="290"/>
      <c r="AG26" s="289"/>
      <c r="AH26" s="290"/>
      <c r="AI26" s="289"/>
      <c r="AJ26" s="290"/>
      <c r="AK26" s="289"/>
      <c r="AL26" s="290"/>
      <c r="AM26" s="289"/>
      <c r="AN26" s="290"/>
      <c r="AO26" s="289"/>
      <c r="AP26" s="290"/>
      <c r="AQ26" s="289"/>
      <c r="AR26" s="290"/>
      <c r="AS26" s="289"/>
      <c r="AT26" s="290"/>
      <c r="AU26" s="290"/>
      <c r="AV26" s="289"/>
      <c r="AW26" s="290"/>
      <c r="AX26" s="289"/>
      <c r="AY26" s="290"/>
      <c r="AZ26" s="289"/>
      <c r="BA26" s="290"/>
      <c r="BB26" s="289"/>
      <c r="BC26" s="290"/>
      <c r="BD26" s="289"/>
      <c r="BE26" s="290"/>
      <c r="BF26" s="289"/>
      <c r="BG26" s="290"/>
      <c r="BH26" s="289"/>
      <c r="BI26" s="291"/>
      <c r="BJ26" s="292"/>
      <c r="BK26" s="291"/>
      <c r="BL26" s="299"/>
      <c r="BM26" s="299"/>
      <c r="BN26" s="300"/>
    </row>
    <row r="27" spans="1:66" s="301" customFormat="1" ht="54" x14ac:dyDescent="0.25">
      <c r="A27" s="268" t="s">
        <v>684</v>
      </c>
      <c r="B27" s="294" t="s">
        <v>685</v>
      </c>
      <c r="C27" s="288"/>
      <c r="D27" s="289">
        <v>0</v>
      </c>
      <c r="E27" s="290"/>
      <c r="F27" s="289">
        <v>0</v>
      </c>
      <c r="G27" s="290"/>
      <c r="H27" s="289">
        <v>0</v>
      </c>
      <c r="I27" s="290"/>
      <c r="J27" s="289">
        <v>0</v>
      </c>
      <c r="K27" s="290"/>
      <c r="L27" s="289">
        <v>0</v>
      </c>
      <c r="M27" s="290"/>
      <c r="N27" s="289">
        <v>0</v>
      </c>
      <c r="O27" s="290"/>
      <c r="P27" s="289">
        <v>0</v>
      </c>
      <c r="Q27" s="290"/>
      <c r="R27" s="289">
        <v>0</v>
      </c>
      <c r="S27" s="290"/>
      <c r="T27" s="289">
        <v>0</v>
      </c>
      <c r="U27" s="290"/>
      <c r="V27" s="289">
        <v>0</v>
      </c>
      <c r="W27" s="290"/>
      <c r="X27" s="289">
        <v>0</v>
      </c>
      <c r="Y27" s="290"/>
      <c r="Z27" s="290"/>
      <c r="AA27" s="289">
        <v>0</v>
      </c>
      <c r="AB27" s="290"/>
      <c r="AC27" s="289">
        <v>0</v>
      </c>
      <c r="AD27" s="290"/>
      <c r="AE27" s="289">
        <v>0</v>
      </c>
      <c r="AF27" s="290"/>
      <c r="AG27" s="289">
        <v>0</v>
      </c>
      <c r="AH27" s="290"/>
      <c r="AI27" s="289">
        <v>0</v>
      </c>
      <c r="AJ27" s="290"/>
      <c r="AK27" s="289">
        <v>0</v>
      </c>
      <c r="AL27" s="290"/>
      <c r="AM27" s="289">
        <v>0</v>
      </c>
      <c r="AN27" s="290"/>
      <c r="AO27" s="289">
        <v>0</v>
      </c>
      <c r="AP27" s="290"/>
      <c r="AQ27" s="289">
        <v>0</v>
      </c>
      <c r="AR27" s="290"/>
      <c r="AS27" s="289">
        <v>0</v>
      </c>
      <c r="AT27" s="290"/>
      <c r="AU27" s="290"/>
      <c r="AV27" s="289">
        <v>0</v>
      </c>
      <c r="AW27" s="290"/>
      <c r="AX27" s="289">
        <v>0</v>
      </c>
      <c r="AY27" s="290"/>
      <c r="AZ27" s="289">
        <v>0</v>
      </c>
      <c r="BA27" s="290"/>
      <c r="BB27" s="289">
        <v>0</v>
      </c>
      <c r="BC27" s="290"/>
      <c r="BD27" s="289">
        <v>0</v>
      </c>
      <c r="BE27" s="290"/>
      <c r="BF27" s="289">
        <v>0</v>
      </c>
      <c r="BG27" s="290"/>
      <c r="BH27" s="289">
        <v>0</v>
      </c>
      <c r="BI27" s="291"/>
      <c r="BJ27" s="292">
        <f>D27+F27+H27+J27+X27+N27+P27+R27+T27+V27+AA27+AC27+AG27+AI27+AK27+AM27+AO27+AQ27+AS27+AV27+AX27+AZ27+BB27+BD27+BH27+BF27+AE27</f>
        <v>0</v>
      </c>
      <c r="BK27" s="291"/>
      <c r="BL27" s="299"/>
      <c r="BM27" s="299"/>
      <c r="BN27" s="300"/>
    </row>
    <row r="28" spans="1:66" s="301" customFormat="1" ht="18.75" thickBot="1" x14ac:dyDescent="0.3">
      <c r="A28" s="268"/>
      <c r="B28" s="294"/>
      <c r="C28" s="288"/>
      <c r="D28" s="292"/>
      <c r="E28" s="291"/>
      <c r="F28" s="292"/>
      <c r="G28" s="291"/>
      <c r="H28" s="292"/>
      <c r="I28" s="291"/>
      <c r="J28" s="292"/>
      <c r="K28" s="291"/>
      <c r="L28" s="309"/>
      <c r="M28" s="291"/>
      <c r="N28" s="292"/>
      <c r="O28" s="291"/>
      <c r="P28" s="292"/>
      <c r="Q28" s="291"/>
      <c r="R28" s="292"/>
      <c r="S28" s="291"/>
      <c r="T28" s="292"/>
      <c r="U28" s="291"/>
      <c r="V28" s="292"/>
      <c r="W28" s="291"/>
      <c r="X28" s="292"/>
      <c r="Y28" s="291"/>
      <c r="Z28" s="291"/>
      <c r="AA28" s="292"/>
      <c r="AB28" s="291"/>
      <c r="AC28" s="292"/>
      <c r="AD28" s="291"/>
      <c r="AE28" s="292"/>
      <c r="AF28" s="291"/>
      <c r="AG28" s="292"/>
      <c r="AH28" s="291"/>
      <c r="AI28" s="292"/>
      <c r="AJ28" s="291"/>
      <c r="AK28" s="292"/>
      <c r="AL28" s="291"/>
      <c r="AM28" s="292"/>
      <c r="AN28" s="291"/>
      <c r="AO28" s="292"/>
      <c r="AP28" s="291"/>
      <c r="AQ28" s="292"/>
      <c r="AR28" s="291"/>
      <c r="AS28" s="292"/>
      <c r="AT28" s="291"/>
      <c r="AU28" s="291"/>
      <c r="AV28" s="292"/>
      <c r="AW28" s="291"/>
      <c r="AX28" s="292"/>
      <c r="AY28" s="291"/>
      <c r="AZ28" s="292"/>
      <c r="BA28" s="291"/>
      <c r="BB28" s="292"/>
      <c r="BC28" s="291"/>
      <c r="BD28" s="292"/>
      <c r="BE28" s="291"/>
      <c r="BF28" s="292"/>
      <c r="BG28" s="291"/>
      <c r="BH28" s="292"/>
      <c r="BI28" s="291"/>
      <c r="BJ28" s="292"/>
      <c r="BK28" s="298"/>
      <c r="BL28" s="299"/>
      <c r="BM28" s="299"/>
      <c r="BN28" s="300"/>
    </row>
    <row r="29" spans="1:66" s="301" customFormat="1" ht="54.75" thickBot="1" x14ac:dyDescent="0.3">
      <c r="A29" s="303" t="s">
        <v>686</v>
      </c>
      <c r="B29" s="312"/>
      <c r="C29" s="307"/>
      <c r="D29" s="306">
        <f>D21+D23+D25+D27</f>
        <v>4700525</v>
      </c>
      <c r="E29" s="307"/>
      <c r="F29" s="306">
        <f>F21+F23+F25+F27</f>
        <v>2239734</v>
      </c>
      <c r="G29" s="307"/>
      <c r="H29" s="306">
        <f>H21+H23+H25+H27</f>
        <v>0</v>
      </c>
      <c r="I29" s="307"/>
      <c r="J29" s="306">
        <f>J21+J23+J25+J27</f>
        <v>201151</v>
      </c>
      <c r="K29" s="307"/>
      <c r="L29" s="306">
        <f>L21+L23+L25+L27</f>
        <v>0</v>
      </c>
      <c r="M29" s="307"/>
      <c r="N29" s="306">
        <f>N21+N23+N25+N27</f>
        <v>173297</v>
      </c>
      <c r="O29" s="307"/>
      <c r="P29" s="306">
        <f>P21+P23+P25+P27</f>
        <v>0</v>
      </c>
      <c r="Q29" s="307"/>
      <c r="R29" s="306">
        <f>R21+R23+R25+R27</f>
        <v>222244</v>
      </c>
      <c r="S29" s="307"/>
      <c r="T29" s="306">
        <f>T21+T23+T25+T27</f>
        <v>0</v>
      </c>
      <c r="U29" s="307"/>
      <c r="V29" s="306">
        <f>V21+V23+V25+V27</f>
        <v>0</v>
      </c>
      <c r="W29" s="307"/>
      <c r="X29" s="306">
        <f>X21+X23+X25+X27</f>
        <v>0</v>
      </c>
      <c r="Y29" s="307"/>
      <c r="Z29" s="307"/>
      <c r="AA29" s="306">
        <f>AA21+AA23+AA25+AA27</f>
        <v>0</v>
      </c>
      <c r="AB29" s="307"/>
      <c r="AC29" s="306">
        <f>AC21+AC23+AC25+AC27</f>
        <v>973199</v>
      </c>
      <c r="AD29" s="307"/>
      <c r="AE29" s="306">
        <f>AE21+AE23+AE25+AE27</f>
        <v>0</v>
      </c>
      <c r="AF29" s="307"/>
      <c r="AG29" s="306">
        <f>AG21+AG23+AG25+AG27</f>
        <v>0</v>
      </c>
      <c r="AH29" s="307"/>
      <c r="AI29" s="306">
        <f>AI21+AI23+AI25+AI27</f>
        <v>0</v>
      </c>
      <c r="AJ29" s="307"/>
      <c r="AK29" s="306">
        <f>AK21+AK23+AK25+AK27</f>
        <v>691098</v>
      </c>
      <c r="AL29" s="307"/>
      <c r="AM29" s="306">
        <f>AM21+AM23+AM25+AM27</f>
        <v>0</v>
      </c>
      <c r="AN29" s="307"/>
      <c r="AO29" s="306">
        <f>AO21+AO23+AO25+AO27</f>
        <v>0</v>
      </c>
      <c r="AP29" s="307"/>
      <c r="AQ29" s="306">
        <f>AQ21+AQ23+AQ25+AQ27</f>
        <v>0</v>
      </c>
      <c r="AR29" s="307"/>
      <c r="AS29" s="306">
        <f>AS21+AS23+AS25+AS27</f>
        <v>0</v>
      </c>
      <c r="AT29" s="307"/>
      <c r="AU29" s="307"/>
      <c r="AV29" s="306">
        <f>AV21+AV23+AV25+AV27</f>
        <v>0</v>
      </c>
      <c r="AW29" s="307"/>
      <c r="AX29" s="306">
        <f>AX21+AX23+AX25+AX27</f>
        <v>0</v>
      </c>
      <c r="AY29" s="307"/>
      <c r="AZ29" s="306">
        <f>AZ21+AZ23+AZ25+AZ27</f>
        <v>0</v>
      </c>
      <c r="BA29" s="307"/>
      <c r="BB29" s="306">
        <f>BB21+BB23+BB25+BB27</f>
        <v>0</v>
      </c>
      <c r="BC29" s="307"/>
      <c r="BD29" s="306">
        <f>BD21+BD23+BD25+BD27</f>
        <v>0</v>
      </c>
      <c r="BE29" s="307"/>
      <c r="BF29" s="306">
        <f>BF21+BF23+BF25+BF27</f>
        <v>0</v>
      </c>
      <c r="BG29" s="307"/>
      <c r="BH29" s="306">
        <f>BH21+BH23+BH25+BH27</f>
        <v>0</v>
      </c>
      <c r="BI29" s="307"/>
      <c r="BJ29" s="306">
        <f>D29+F29+H29+J29+X29+N29+P29+R29+T29+V29+AA29+AC29+AG29+AI29+AK29+AM29+AO29+AQ29+AS29+AV29+AX29+AZ29+BB29+BD29+BH29+BF29+AE29</f>
        <v>9201248</v>
      </c>
      <c r="BK29" s="307"/>
      <c r="BL29" s="308"/>
      <c r="BM29" s="308"/>
      <c r="BN29" s="300"/>
    </row>
    <row r="30" spans="1:66" s="301" customFormat="1" ht="18" x14ac:dyDescent="0.25">
      <c r="A30" s="269"/>
      <c r="B30" s="315"/>
      <c r="C30" s="298"/>
      <c r="D30" s="309"/>
      <c r="E30" s="291"/>
      <c r="F30" s="309"/>
      <c r="G30" s="291"/>
      <c r="H30" s="309"/>
      <c r="I30" s="291"/>
      <c r="J30" s="309"/>
      <c r="K30" s="291"/>
      <c r="L30" s="309"/>
      <c r="M30" s="291"/>
      <c r="N30" s="309"/>
      <c r="O30" s="291"/>
      <c r="P30" s="309"/>
      <c r="Q30" s="291"/>
      <c r="R30" s="309"/>
      <c r="S30" s="291"/>
      <c r="T30" s="309"/>
      <c r="U30" s="291"/>
      <c r="V30" s="309"/>
      <c r="W30" s="291"/>
      <c r="X30" s="309"/>
      <c r="Y30" s="291"/>
      <c r="Z30" s="291"/>
      <c r="AA30" s="309"/>
      <c r="AB30" s="291"/>
      <c r="AC30" s="309"/>
      <c r="AD30" s="291"/>
      <c r="AE30" s="309"/>
      <c r="AF30" s="291"/>
      <c r="AG30" s="309"/>
      <c r="AH30" s="291"/>
      <c r="AI30" s="309"/>
      <c r="AJ30" s="291"/>
      <c r="AK30" s="309"/>
      <c r="AL30" s="291"/>
      <c r="AM30" s="309"/>
      <c r="AN30" s="291"/>
      <c r="AO30" s="309"/>
      <c r="AP30" s="291"/>
      <c r="AQ30" s="309"/>
      <c r="AR30" s="291"/>
      <c r="AS30" s="309"/>
      <c r="AT30" s="291"/>
      <c r="AU30" s="291"/>
      <c r="AV30" s="309"/>
      <c r="AW30" s="291"/>
      <c r="AX30" s="309"/>
      <c r="AY30" s="291"/>
      <c r="AZ30" s="309"/>
      <c r="BA30" s="291"/>
      <c r="BB30" s="309"/>
      <c r="BC30" s="291"/>
      <c r="BD30" s="309"/>
      <c r="BE30" s="291"/>
      <c r="BF30" s="309"/>
      <c r="BG30" s="291"/>
      <c r="BH30" s="309"/>
      <c r="BI30" s="291"/>
      <c r="BK30" s="298"/>
      <c r="BL30" s="299"/>
      <c r="BM30" s="299"/>
      <c r="BN30" s="300"/>
    </row>
    <row r="31" spans="1:66" s="301" customFormat="1" ht="78" x14ac:dyDescent="0.3">
      <c r="A31" s="297" t="s">
        <v>687</v>
      </c>
      <c r="B31" s="294"/>
      <c r="C31" s="298"/>
      <c r="D31" s="292"/>
      <c r="E31" s="291"/>
      <c r="F31" s="292"/>
      <c r="G31" s="291"/>
      <c r="H31" s="292"/>
      <c r="I31" s="291"/>
      <c r="J31" s="292"/>
      <c r="K31" s="291"/>
      <c r="L31" s="316" t="s">
        <v>688</v>
      </c>
      <c r="M31" s="291"/>
      <c r="N31" s="292"/>
      <c r="O31" s="291"/>
      <c r="P31" s="292"/>
      <c r="Q31" s="291"/>
      <c r="R31" s="292"/>
      <c r="S31" s="291"/>
      <c r="T31" s="292"/>
      <c r="U31" s="291"/>
      <c r="V31" s="292"/>
      <c r="W31" s="291"/>
      <c r="X31" s="292"/>
      <c r="Y31" s="291"/>
      <c r="Z31" s="291"/>
      <c r="AA31" s="292"/>
      <c r="AB31" s="291"/>
      <c r="AC31" s="292"/>
      <c r="AD31" s="291"/>
      <c r="AE31" s="292"/>
      <c r="AF31" s="291"/>
      <c r="AG31" s="292"/>
      <c r="AH31" s="291"/>
      <c r="AI31" s="292"/>
      <c r="AJ31" s="291"/>
      <c r="AK31" s="292"/>
      <c r="AL31" s="291"/>
      <c r="AM31" s="292"/>
      <c r="AN31" s="291"/>
      <c r="AO31" s="292"/>
      <c r="AP31" s="291"/>
      <c r="AQ31" s="292"/>
      <c r="AR31" s="291"/>
      <c r="AS31" s="292"/>
      <c r="AT31" s="291"/>
      <c r="AU31" s="291"/>
      <c r="AV31" s="292"/>
      <c r="AW31" s="291"/>
      <c r="AX31" s="292"/>
      <c r="AY31" s="291"/>
      <c r="AZ31" s="292"/>
      <c r="BA31" s="291"/>
      <c r="BB31" s="292"/>
      <c r="BC31" s="291"/>
      <c r="BD31" s="292"/>
      <c r="BE31" s="291"/>
      <c r="BF31" s="292"/>
      <c r="BG31" s="291"/>
      <c r="BH31" s="292"/>
      <c r="BI31" s="291"/>
      <c r="BJ31" s="300"/>
      <c r="BK31" s="298"/>
      <c r="BL31" s="299"/>
      <c r="BM31" s="299"/>
      <c r="BN31" s="300"/>
    </row>
    <row r="32" spans="1:66" s="301" customFormat="1" ht="18" x14ac:dyDescent="0.25">
      <c r="A32" s="268" t="s">
        <v>689</v>
      </c>
      <c r="B32" s="294"/>
      <c r="C32" s="298"/>
      <c r="D32" s="292"/>
      <c r="E32" s="291"/>
      <c r="F32" s="292"/>
      <c r="G32" s="291"/>
      <c r="H32" s="292"/>
      <c r="I32" s="291"/>
      <c r="J32" s="292"/>
      <c r="K32" s="291"/>
      <c r="L32" s="309"/>
      <c r="M32" s="291"/>
      <c r="N32" s="292"/>
      <c r="O32" s="291"/>
      <c r="P32" s="292"/>
      <c r="Q32" s="291"/>
      <c r="R32" s="292"/>
      <c r="S32" s="291"/>
      <c r="T32" s="292"/>
      <c r="U32" s="291"/>
      <c r="V32" s="292"/>
      <c r="W32" s="291"/>
      <c r="X32" s="292"/>
      <c r="Y32" s="291"/>
      <c r="Z32" s="291"/>
      <c r="AA32" s="292"/>
      <c r="AB32" s="291"/>
      <c r="AC32" s="292"/>
      <c r="AD32" s="291"/>
      <c r="AE32" s="292"/>
      <c r="AF32" s="291"/>
      <c r="AG32" s="292"/>
      <c r="AH32" s="291"/>
      <c r="AI32" s="292"/>
      <c r="AJ32" s="291"/>
      <c r="AK32" s="292"/>
      <c r="AL32" s="291"/>
      <c r="AM32" s="292"/>
      <c r="AN32" s="291"/>
      <c r="AO32" s="292"/>
      <c r="AP32" s="291"/>
      <c r="AQ32" s="292"/>
      <c r="AR32" s="291"/>
      <c r="AS32" s="292"/>
      <c r="AT32" s="291"/>
      <c r="AU32" s="291"/>
      <c r="AV32" s="292"/>
      <c r="AW32" s="291"/>
      <c r="AX32" s="292"/>
      <c r="AY32" s="291"/>
      <c r="AZ32" s="292"/>
      <c r="BA32" s="291"/>
      <c r="BB32" s="292"/>
      <c r="BC32" s="291"/>
      <c r="BD32" s="292"/>
      <c r="BE32" s="291"/>
      <c r="BF32" s="292"/>
      <c r="BG32" s="291"/>
      <c r="BH32" s="292"/>
      <c r="BI32" s="291"/>
      <c r="BJ32" s="300"/>
      <c r="BK32" s="298"/>
      <c r="BL32" s="299"/>
      <c r="BM32" s="299"/>
      <c r="BN32" s="300"/>
    </row>
    <row r="33" spans="1:66" s="301" customFormat="1" ht="18" x14ac:dyDescent="0.25">
      <c r="A33" s="268" t="s">
        <v>690</v>
      </c>
      <c r="B33" s="317" t="s">
        <v>691</v>
      </c>
      <c r="C33" s="298"/>
      <c r="D33" s="318">
        <f>'MCS Budget - Detailed'!N64+'MCS Budget - Detailed'!N65+'MCS Budget - Detailed'!N76+'MCS Budget - Detailed'!N77+'MCS Budget - Detailed'!N78+'MCS Budget - Detailed'!N91+'MCS Budget - Detailed'!N92+'MCS Budget - Detailed'!N106+'MCS Budget - Detailed'!N107+'MCS Budget - Detailed'!N116+'MCS Budget - Detailed'!N117+'MCS Budget - Detailed'!N126+'MCS Budget - Detailed'!N127+'MCS Budget - Detailed'!N147+'MCS Budget - Detailed'!N148+'MCS Budget - Detailed'!N157+'MCS Budget - Detailed'!N158+'MCS Budget - Detailed'!N167+'MCS Budget - Detailed'!N168+'MCS Budget - Detailed'!N177+'MCS Budget - Detailed'!N178+'MCS Budget - Detailed'!N188+'MCS Budget - Detailed'!N189+'MCS Budget - Detailed'!N207+'MCS Budget - Detailed'!N229+'MCS Budget - Detailed'!N230+'MCS Budget - Detailed'!N240+'MCS Budget - Detailed'!N241+'MCS Budget - Detailed'!N250+'MCS Budget - Detailed'!N251+'MCS Budget - Detailed'!N261+'MCS Budget - Detailed'!N263+'MCS Budget - Detailed'!N286+'MCS Budget - Detailed'!N288+'MCS Budget - Detailed'!N304+'MCS Budget - Detailed'!N305+'MCS Budget - Detailed'!N315+'MCS Budget - Detailed'!N316+'MCS Budget - Detailed'!N325+'MCS Budget - Detailed'!N340+'MCS Budget - Detailed'!N341+'MCS Budget - Detailed'!N342+'MCS Budget - Detailed'!N343+'MCS Budget - Detailed'!N399+'MCS Budget - Detailed'!N408+'MCS Budget - Detailed'!N409+'MCS Budget - Detailed'!N421+'MCS Budget - Detailed'!N422+'MCS Budget - Detailed'!N437+'MCS Budget - Detailed'!N438+'MCS Budget - Detailed'!N448+'MCS Budget - Detailed'!N540+'MCS Budget - Detailed'!N541+'MCS Budget - Detailed'!N558+'MCS Budget - Detailed'!N589+'MCS Budget - Detailed'!N590+'MCS Budget - Detailed'!N591+'MCS Budget - Detailed'!N93+'MCS Budget - Detailed'!N559+'MCS Budget - Detailed'!N345+'MCS Budget - Detailed'!N346+'MCS Budget - Detailed'!N449+'MCS Budget - Detailed'!N560+'MCS Budget - Detailed'!N592+'MCS Budget - Detailed'!N136+'MCS Budget - Detailed'!N137+'MCS Budget - Detailed'!N197+'MCS Budget - Detailed'!N198+'MCS Budget - Detailed'!N219+'MCS Budget - Detailed'!N220+'MCS Budget - Detailed'!N593+'MCS Budget - Detailed'!N66+'MCS Budget - Detailed'!N260+'MCS Budget - Detailed'!N262+'MCS Budget - Detailed'!N287+'MCS Budget - Detailed'!N289+'MCS Budget - Detailed'!N344+'MCS Budget - Detailed'!N561+'MCS Budget - Detailed'!N562</f>
        <v>813897</v>
      </c>
      <c r="E33" s="290"/>
      <c r="F33" s="318">
        <f>SUM('CCS Budget - Detailed'!H38+'CCS Budget - Detailed'!H39+'CCS Budget - Detailed'!H50+'CCS Budget - Detailed'!H60+'CCS Budget - Detailed'!H70+'CCS Budget - Detailed'!H80+'CCS Budget - Detailed'!H87+'CCS Budget - Detailed'!H97+'CCS Budget - Detailed'!H108+'CCS Budget - Detailed'!H113+'CCS Budget - Detailed'!H135+'CCS Budget - Detailed'!H143+'CCS Budget - Detailed'!H151+'CCS Budget - Detailed'!H176+'CCS Budget - Detailed'!H193+'CCS Budget - Detailed'!H201+'CCS Budget - Detailed'!H216+'CCS Budget - Detailed'!H232)</f>
        <v>371598</v>
      </c>
      <c r="G33" s="290"/>
      <c r="H33" s="318">
        <v>0</v>
      </c>
      <c r="I33" s="290"/>
      <c r="J33" s="318">
        <f>'MCS Budget - Detailed'!N872+'MCS Budget - Detailed'!N873+'MCS Budget - Detailed'!N874+'MCS Budget - Detailed'!N875+'MCS Budget - Detailed'!N876+'MCS Budget - Detailed'!N863</f>
        <v>77986</v>
      </c>
      <c r="K33" s="290"/>
      <c r="L33" s="289">
        <v>0</v>
      </c>
      <c r="M33" s="290"/>
      <c r="N33" s="318">
        <v>0</v>
      </c>
      <c r="O33" s="290"/>
      <c r="P33" s="318">
        <v>0</v>
      </c>
      <c r="Q33" s="290"/>
      <c r="R33" s="318">
        <v>0</v>
      </c>
      <c r="S33" s="290"/>
      <c r="T33" s="318">
        <v>0</v>
      </c>
      <c r="U33" s="290"/>
      <c r="V33" s="318">
        <v>0</v>
      </c>
      <c r="W33" s="290"/>
      <c r="X33" s="318">
        <v>0</v>
      </c>
      <c r="Y33" s="290"/>
      <c r="Z33" s="290"/>
      <c r="AA33" s="318">
        <v>0</v>
      </c>
      <c r="AB33" s="290"/>
      <c r="AC33" s="318">
        <v>0</v>
      </c>
      <c r="AD33" s="290"/>
      <c r="AE33" s="318">
        <v>0</v>
      </c>
      <c r="AF33" s="290"/>
      <c r="AG33" s="318">
        <v>0</v>
      </c>
      <c r="AH33" s="290"/>
      <c r="AI33" s="318">
        <v>0</v>
      </c>
      <c r="AJ33" s="290"/>
      <c r="AK33" s="318">
        <v>0</v>
      </c>
      <c r="AL33" s="290"/>
      <c r="AM33" s="318">
        <v>0</v>
      </c>
      <c r="AN33" s="290"/>
      <c r="AO33" s="318">
        <v>0</v>
      </c>
      <c r="AP33" s="290"/>
      <c r="AQ33" s="318">
        <v>0</v>
      </c>
      <c r="AR33" s="290"/>
      <c r="AS33" s="318">
        <v>0</v>
      </c>
      <c r="AT33" s="290"/>
      <c r="AU33" s="290"/>
      <c r="AV33" s="318">
        <v>0</v>
      </c>
      <c r="AW33" s="290"/>
      <c r="AX33" s="318">
        <v>0</v>
      </c>
      <c r="AY33" s="290"/>
      <c r="AZ33" s="318">
        <v>0</v>
      </c>
      <c r="BA33" s="290"/>
      <c r="BB33" s="318">
        <v>0</v>
      </c>
      <c r="BC33" s="290"/>
      <c r="BD33" s="318">
        <v>0</v>
      </c>
      <c r="BE33" s="290"/>
      <c r="BF33" s="318">
        <v>0</v>
      </c>
      <c r="BG33" s="290"/>
      <c r="BH33" s="318">
        <v>0</v>
      </c>
      <c r="BI33" s="291"/>
      <c r="BJ33" s="292">
        <f t="shared" ref="BJ33:BJ40" si="0">D33+F33+H33+J33+X33+N33+P33+R33+T33+V33+AA33+AC33+AG33+AI33+AK33+AM33+AO33+AQ33+AS33+AV33+AX33+AZ33+BB33+BD33+BH33+BF33+AE33</f>
        <v>1263481</v>
      </c>
      <c r="BK33" s="298"/>
      <c r="BL33" s="299"/>
      <c r="BM33" s="299"/>
      <c r="BN33" s="300"/>
    </row>
    <row r="34" spans="1:66" s="301" customFormat="1" ht="18" x14ac:dyDescent="0.25">
      <c r="A34" s="268" t="s">
        <v>692</v>
      </c>
      <c r="B34" s="317" t="s">
        <v>693</v>
      </c>
      <c r="C34" s="298"/>
      <c r="D34" s="289">
        <f>'MCS Budget - Detailed'!N67+'MCS Budget - Detailed'!N68+'MCS Budget - Detailed'!N69+'MCS Budget - Detailed'!N70+'MCS Budget - Detailed'!N71+'MCS Budget - Detailed'!N79+'MCS Budget - Detailed'!N80+'MCS Budget - Detailed'!N81+'MCS Budget - Detailed'!N82+'MCS Budget - Detailed'!N83+'MCS Budget - Detailed'!N84+'MCS Budget - Detailed'!N85+'MCS Budget - Detailed'!N86+'MCS Budget - Detailed'!N94+'MCS Budget - Detailed'!N95+'MCS Budget - Detailed'!N97+'MCS Budget - Detailed'!N99+'MCS Budget - Detailed'!N101+'MCS Budget - Detailed'!N108+'MCS Budget - Detailed'!N109+'MCS Budget - Detailed'!N110+'MCS Budget - Detailed'!N111+'MCS Budget - Detailed'!N112+'MCS Budget - Detailed'!N118+'MCS Budget - Detailed'!N119+'MCS Budget - Detailed'!N120+'MCS Budget - Detailed'!N121+'MCS Budget - Detailed'!N122+'MCS Budget - Detailed'!N128+'MCS Budget - Detailed'!N129+'MCS Budget - Detailed'!N130+'MCS Budget - Detailed'!N131+'MCS Budget - Detailed'!N132+'MCS Budget - Detailed'!N149+'MCS Budget - Detailed'!N150+'MCS Budget - Detailed'!N151+'MCS Budget - Detailed'!N152+'MCS Budget - Detailed'!N153+'MCS Budget - Detailed'!N159+'MCS Budget - Detailed'!N160+'MCS Budget - Detailed'!N161+'MCS Budget - Detailed'!N162+'MCS Budget - Detailed'!N163+'MCS Budget - Detailed'!N169+'MCS Budget - Detailed'!N170+'MCS Budget - Detailed'!N171+'MCS Budget - Detailed'!N172+'MCS Budget - Detailed'!N173+'MCS Budget - Detailed'!N179+'MCS Budget - Detailed'!N180+'MCS Budget - Detailed'!N181+'MCS Budget - Detailed'!N182+'MCS Budget - Detailed'!N183+'MCS Budget - Detailed'!N190+'MCS Budget - Detailed'!N191+'MCS Budget - Detailed'!N192+'MCS Budget - Detailed'!N193+'MCS Budget - Detailed'!N194+'MCS Budget - Detailed'!N208+'MCS Budget - Detailed'!N209+'MCS Budget - Detailed'!N210+'MCS Budget - Detailed'!N231+'MCS Budget - Detailed'!N232+'MCS Budget - Detailed'!N233+'MCS Budget - Detailed'!N234+'MCS Budget - Detailed'!N235+'MCS Budget - Detailed'!N242+'MCS Budget - Detailed'!N243+'MCS Budget - Detailed'!N244+'MCS Budget - Detailed'!N245+'MCS Budget - Detailed'!N246+'MCS Budget - Detailed'!N252+'MCS Budget - Detailed'!N253+'MCS Budget - Detailed'!N254+'MCS Budget - Detailed'!N255+'MCS Budget - Detailed'!N256+'MCS Budget - Detailed'!N265+'MCS Budget - Detailed'!N267+'MCS Budget - Detailed'!N269+'MCS Budget - Detailed'!N271+'MCS Budget - Detailed'!N273+'MCS Budget - Detailed'!N290+'MCS Budget - Detailed'!N292+'MCS Budget - Detailed'!N294+'MCS Budget - Detailed'!N296+'MCS Budget - Detailed'!N298+'MCS Budget - Detailed'!N306+'MCS Budget - Detailed'!N307+'MCS Budget - Detailed'!N308+'MCS Budget - Detailed'!N309+'MCS Budget - Detailed'!N310+'MCS Budget - Detailed'!N317+'MCS Budget - Detailed'!N318+'MCS Budget - Detailed'!N319+'MCS Budget - Detailed'!N320+'MCS Budget - Detailed'!N321+'MCS Budget - Detailed'!N326+'MCS Budget - Detailed'!N327+'MCS Budget - Detailed'!N328+'MCS Budget - Detailed'!N347+'MCS Budget - Detailed'!N348+'MCS Budget - Detailed'!N349+'MCS Budget - Detailed'!N350+'MCS Budget - Detailed'!N354+'MCS Budget - Detailed'!N355+'MCS Budget - Detailed'!N356+'MCS Budget - Detailed'!N360+'MCS Budget - Detailed'!N361+'MCS Budget - Detailed'!N363+'MCS Budget - Detailed'!N368+'MCS Budget - Detailed'!N369+'MCS Budget - Detailed'!N370+'MCS Budget - Detailed'!N374+'MCS Budget - Detailed'!N400+'MCS Budget - Detailed'!N401+'MCS Budget - Detailed'!N402+'MCS Budget - Detailed'!N410+'MCS Budget - Detailed'!N411+'MCS Budget - Detailed'!N412+'MCS Budget - Detailed'!N413+'MCS Budget - Detailed'!N414+'MCS Budget - Detailed'!N423+'MCS Budget - Detailed'!N424+'MCS Budget - Detailed'!N425+'MCS Budget - Detailed'!N426+'MCS Budget - Detailed'!N427+'MCS Budget - Detailed'!N439+'MCS Budget - Detailed'!N440+'MCS Budget - Detailed'!N441+'MCS Budget - Detailed'!N442+'MCS Budget - Detailed'!N443+'MCS Budget - Detailed'!N451+'MCS Budget - Detailed'!N454+'MCS Budget - Detailed'!N457+'MCS Budget - Detailed'!N542+'MCS Budget - Detailed'!N543+'MCS Budget - Detailed'!N544+'MCS Budget - Detailed'!N545+'MCS Budget - Detailed'!N546+'MCS Budget - Detailed'!N547+'MCS Budget - Detailed'!N548+'MCS Budget - Detailed'!N549+'MCS Budget - Detailed'!N563+'MCS Budget - Detailed'!N564+'MCS Budget - Detailed'!N565+'MCS Budget - Detailed'!N566+'MCS Budget - Detailed'!N568+'MCS Budget - Detailed'!N569+'MCS Budget - Detailed'!N571+'MCS Budget - Detailed'!N572+'MCS Budget - Detailed'!N574+'MCS Budget - Detailed'!N594+'MCS Budget - Detailed'!N595+'MCS Budget - Detailed'!N596+'MCS Budget - Detailed'!N597+'MCS Budget - Detailed'!N598+'MCS Budget - Detailed'!N599+'MCS Budget - Detailed'!N600+'MCS Budget - Detailed'!N601+'MCS Budget - Detailed'!N602+'MCS Budget - Detailed'!N603+'MCS Budget - Detailed'!N352+'MCS Budget - Detailed'!N353+'MCS Budget - Detailed'!N358+'MCS Budget - Detailed'!N359+'MCS Budget - Detailed'!N366+'MCS Budget - Detailed'!N367+'MCS Budget - Detailed'!N452+'MCS Budget - Detailed'!N455+'MCS Budget - Detailed'!N458+'MCS Budget - Detailed'!N96+'MCS Budget - Detailed'!N98+'MCS Budget - Detailed'!N100+'MCS Budget - Detailed'!N138+'MCS Budget - Detailed'!N139+'MCS Budget - Detailed'!N140+'MCS Budget - Detailed'!N141+'MCS Budget - Detailed'!N142+'MCS Budget - Detailed'!N199+'MCS Budget - Detailed'!N200+'MCS Budget - Detailed'!N201+'MCS Budget - Detailed'!N202+'MCS Budget - Detailed'!N203+'MCS Budget - Detailed'!N221+'MCS Budget - Detailed'!N222+'MCS Budget - Detailed'!N223+'MCS Budget - Detailed'!N224+'MCS Budget - Detailed'!N225+'MCS Budget - Detailed'!N72+'MCS Budget - Detailed'!N87+'MCS Budget - Detailed'!N88+'MCS Budget - Detailed'!N102+'MCS Budget - Detailed'!N103+'MCS Budget - Detailed'!N113+'MCS Budget - Detailed'!N123+'MCS Budget - Detailed'!N133+'MCS Budget - Detailed'!N143+'MCS Budget - Detailed'!N154+'MCS Budget - Detailed'!N164+'MCS Budget - Detailed'!N174+'MCS Budget - Detailed'!N184+'MCS Budget - Detailed'!N204+'MCS Budget - Detailed'!N226+'MCS Budget - Detailed'!N236+'MCS Budget - Detailed'!N247+'MCS Budget - Detailed'!N264+'MCS Budget - Detailed'!N266+'MCS Budget - Detailed'!N268+'MCS Budget - Detailed'!N270+'MCS Budget - Detailed'!N272+'MCS Budget - Detailed'!N274+'MCS Budget - Detailed'!N291+'MCS Budget - Detailed'!N293+'MCS Budget - Detailed'!N295+'MCS Budget - Detailed'!N297+'MCS Budget - Detailed'!N299+'MCS Budget - Detailed'!N300+'MCS Budget - Detailed'!N301+'MCS Budget - Detailed'!N311+'MCS Budget - Detailed'!N322+'MCS Budget - Detailed'!N351+'MCS Budget - Detailed'!N357+'MCS Budget - Detailed'!N364+'MCS Budget - Detailed'!N365+'MCS Budget - Detailed'!N371+'MCS Budget - Detailed'!N375+'MCS Budget - Detailed'!N376+'MCS Budget - Detailed'!N415+'MCS Budget - Detailed'!N428+'MCS Budget - Detailed'!N444+'MCS Budget - Detailed'!N550+'MCS Budget - Detailed'!N567+'MCS Budget - Detailed'!N570+'MCS Budget - Detailed'!N573+'MCS Budget - Detailed'!N604+'MCS Budget - Detailed'!N605</f>
        <v>320984</v>
      </c>
      <c r="E34" s="290"/>
      <c r="F34" s="289">
        <f>SUM('CCS Budget - Detailed'!H41+'CCS Budget - Detailed'!H42+'CCS Budget - Detailed'!H43+'CCS Budget - Detailed'!H40+'CCS Budget - Detailed'!H52+'CCS Budget - Detailed'!H53+'CCS Budget - Detailed'!H54+'CCS Budget - Detailed'!H51+'CCS Budget - Detailed'!H62+'CCS Budget - Detailed'!H63+'CCS Budget - Detailed'!H64+'CCS Budget - Detailed'!H61+'CCS Budget - Detailed'!H72+'CCS Budget - Detailed'!H73+'CCS Budget - Detailed'!H74+'CCS Budget - Detailed'!H71+'CCS Budget - Detailed'!H82+'CCS Budget - Detailed'!H83+'CCS Budget - Detailed'!H81+'CCS Budget - Detailed'!H89+'CCS Budget - Detailed'!H90+'CCS Budget - Detailed'!H91+'CCS Budget - Detailed'!H88+'CCS Budget - Detailed'!H99+'CCS Budget - Detailed'!H100+'CCS Budget - Detailed'!H101+'CCS Budget - Detailed'!H98+'CCS Budget - Detailed'!H110+'CCS Budget - Detailed'!H111+'CCS Budget - Detailed'!H112+'CCS Budget - Detailed'!H109+'CCS Budget - Detailed'!H115+'CCS Budget - Detailed'!H116+'CCS Budget - Detailed'!H114+'CCS Budget - Detailed'!H137+'CCS Budget - Detailed'!H138+'CCS Budget - Detailed'!H139+'CCS Budget - Detailed'!H136+'CCS Budget - Detailed'!H145+'CCS Budget - Detailed'!H146+'CCS Budget - Detailed'!H144+'CCS Budget - Detailed'!H153+'CCS Budget - Detailed'!H154+'CCS Budget - Detailed'!H155+'CCS Budget - Detailed'!H152+'CCS Budget - Detailed'!H178+'CCS Budget - Detailed'!H179+'CCS Budget - Detailed'!H177+'CCS Budget - Detailed'!H194+'CCS Budget - Detailed'!H195+'CCS Budget - Detailed'!H196+'CCS Budget - Detailed'!H202+'CCS Budget - Detailed'!H203+'CCS Budget - Detailed'!H204+'CCS Budget - Detailed'!H234+'CCS Budget - Detailed'!H235+'CCS Budget - Detailed'!H236+'CCS Budget - Detailed'!H233)</f>
        <v>115441</v>
      </c>
      <c r="G34" s="290"/>
      <c r="H34" s="289">
        <v>0</v>
      </c>
      <c r="I34" s="290"/>
      <c r="J34" s="289">
        <f>'MCS Budget - Detailed'!N877+'MCS Budget - Detailed'!N878+'MCS Budget - Detailed'!N879+'MCS Budget - Detailed'!N880+'MCS Budget - Detailed'!N881+'MCS Budget - Detailed'!N882+'MCS Budget - Detailed'!N883+'MCS Budget - Detailed'!N884+'MCS Budget - Detailed'!N885+'MCS Budget - Detailed'!N886+'MCS Budget - Detailed'!N865+'MCS Budget - Detailed'!N866+'MCS Budget - Detailed'!N867</f>
        <v>32547</v>
      </c>
      <c r="K34" s="290"/>
      <c r="L34" s="289"/>
      <c r="M34" s="290"/>
      <c r="N34" s="289">
        <v>0</v>
      </c>
      <c r="O34" s="290"/>
      <c r="P34" s="289">
        <v>0</v>
      </c>
      <c r="Q34" s="290"/>
      <c r="R34" s="289">
        <v>0</v>
      </c>
      <c r="S34" s="290"/>
      <c r="T34" s="289">
        <v>0</v>
      </c>
      <c r="U34" s="290"/>
      <c r="V34" s="289">
        <v>0</v>
      </c>
      <c r="W34" s="290"/>
      <c r="X34" s="289">
        <v>0</v>
      </c>
      <c r="Y34" s="290"/>
      <c r="Z34" s="290"/>
      <c r="AA34" s="289">
        <v>0</v>
      </c>
      <c r="AB34" s="290"/>
      <c r="AC34" s="289">
        <v>0</v>
      </c>
      <c r="AD34" s="290"/>
      <c r="AE34" s="289">
        <v>0</v>
      </c>
      <c r="AF34" s="290"/>
      <c r="AG34" s="289">
        <v>0</v>
      </c>
      <c r="AH34" s="290"/>
      <c r="AI34" s="289">
        <v>0</v>
      </c>
      <c r="AJ34" s="290"/>
      <c r="AK34" s="289">
        <v>0</v>
      </c>
      <c r="AL34" s="290"/>
      <c r="AM34" s="289">
        <v>0</v>
      </c>
      <c r="AN34" s="290"/>
      <c r="AO34" s="289">
        <v>0</v>
      </c>
      <c r="AP34" s="290"/>
      <c r="AQ34" s="289">
        <v>0</v>
      </c>
      <c r="AR34" s="290"/>
      <c r="AS34" s="289">
        <v>0</v>
      </c>
      <c r="AT34" s="290"/>
      <c r="AU34" s="290"/>
      <c r="AV34" s="289">
        <v>0</v>
      </c>
      <c r="AW34" s="290"/>
      <c r="AX34" s="289">
        <v>0</v>
      </c>
      <c r="AY34" s="290"/>
      <c r="AZ34" s="289">
        <v>0</v>
      </c>
      <c r="BA34" s="290"/>
      <c r="BB34" s="289">
        <v>0</v>
      </c>
      <c r="BC34" s="290"/>
      <c r="BD34" s="289">
        <v>0</v>
      </c>
      <c r="BE34" s="290"/>
      <c r="BF34" s="289">
        <v>0</v>
      </c>
      <c r="BG34" s="290"/>
      <c r="BH34" s="289">
        <v>0</v>
      </c>
      <c r="BI34" s="291"/>
      <c r="BJ34" s="292">
        <f t="shared" si="0"/>
        <v>468972</v>
      </c>
      <c r="BK34" s="298"/>
      <c r="BL34" s="299"/>
      <c r="BM34" s="299"/>
      <c r="BN34" s="300"/>
    </row>
    <row r="35" spans="1:66" s="301" customFormat="1" ht="18" x14ac:dyDescent="0.25">
      <c r="A35" s="268" t="s">
        <v>694</v>
      </c>
      <c r="B35" s="317" t="s">
        <v>482</v>
      </c>
      <c r="C35" s="298"/>
      <c r="D35" s="318">
        <f>'MCS Budget - Detailed'!N211+'MCS Budget - Detailed'!N276+'MCS Budget - Detailed'!N330+'MCS Budget - Detailed'!N338+'MCS Budget - Detailed'!N378+'MCS Budget - Detailed'!N575+'MCS Budget - Detailed'!N606+'MCS Budget - Detailed'!N429+'MCS Budget - Detailed'!N275+'MCS Budget - Detailed'!N377+'MCS Budget - Detailed'!N460+'MCS Budget - Detailed'!N551</f>
        <v>31784</v>
      </c>
      <c r="E35" s="290"/>
      <c r="F35" s="318">
        <f>SUM('CCS Budget - Detailed'!H102+'CCS Budget - Detailed'!H119+'CCS Budget - Detailed'!H117+'CCS Budget - Detailed'!H118+'CCS Budget - Detailed'!H237)</f>
        <v>37749</v>
      </c>
      <c r="G35" s="290"/>
      <c r="H35" s="318">
        <v>0</v>
      </c>
      <c r="I35" s="290"/>
      <c r="J35" s="318">
        <f>'MCS Budget - Detailed'!N887+'MCS Budget - Detailed'!N888+'MCS Budget - Detailed'!N869</f>
        <v>5000</v>
      </c>
      <c r="K35" s="290"/>
      <c r="L35" s="289"/>
      <c r="M35" s="290"/>
      <c r="N35" s="318">
        <v>0</v>
      </c>
      <c r="O35" s="290"/>
      <c r="P35" s="318">
        <v>0</v>
      </c>
      <c r="Q35" s="290"/>
      <c r="R35" s="318">
        <v>0</v>
      </c>
      <c r="S35" s="290"/>
      <c r="T35" s="318">
        <v>0</v>
      </c>
      <c r="U35" s="290"/>
      <c r="V35" s="318">
        <v>0</v>
      </c>
      <c r="W35" s="290"/>
      <c r="X35" s="318">
        <v>0</v>
      </c>
      <c r="Y35" s="290"/>
      <c r="Z35" s="290"/>
      <c r="AA35" s="318">
        <v>0</v>
      </c>
      <c r="AB35" s="290"/>
      <c r="AC35" s="318">
        <v>0</v>
      </c>
      <c r="AD35" s="290"/>
      <c r="AE35" s="318">
        <v>0</v>
      </c>
      <c r="AF35" s="290"/>
      <c r="AG35" s="318">
        <v>0</v>
      </c>
      <c r="AH35" s="290"/>
      <c r="AI35" s="318">
        <v>0</v>
      </c>
      <c r="AJ35" s="290"/>
      <c r="AK35" s="318">
        <v>0</v>
      </c>
      <c r="AL35" s="290"/>
      <c r="AM35" s="318">
        <v>0</v>
      </c>
      <c r="AN35" s="290"/>
      <c r="AO35" s="318">
        <v>0</v>
      </c>
      <c r="AP35" s="290"/>
      <c r="AQ35" s="318">
        <v>0</v>
      </c>
      <c r="AR35" s="290"/>
      <c r="AS35" s="318">
        <v>0</v>
      </c>
      <c r="AT35" s="290"/>
      <c r="AU35" s="290"/>
      <c r="AV35" s="318">
        <v>0</v>
      </c>
      <c r="AW35" s="290"/>
      <c r="AX35" s="318">
        <v>0</v>
      </c>
      <c r="AY35" s="290"/>
      <c r="AZ35" s="318">
        <v>0</v>
      </c>
      <c r="BA35" s="290"/>
      <c r="BB35" s="318">
        <v>0</v>
      </c>
      <c r="BC35" s="290"/>
      <c r="BD35" s="318">
        <v>0</v>
      </c>
      <c r="BE35" s="290"/>
      <c r="BF35" s="318">
        <v>0</v>
      </c>
      <c r="BG35" s="290"/>
      <c r="BH35" s="318">
        <v>0</v>
      </c>
      <c r="BI35" s="291"/>
      <c r="BJ35" s="292">
        <f t="shared" si="0"/>
        <v>74533</v>
      </c>
      <c r="BK35" s="298"/>
      <c r="BL35" s="299"/>
      <c r="BM35" s="299"/>
      <c r="BN35" s="300"/>
    </row>
    <row r="36" spans="1:66" s="301" customFormat="1" ht="18" x14ac:dyDescent="0.25">
      <c r="A36" s="268" t="s">
        <v>749</v>
      </c>
      <c r="B36" s="317" t="s">
        <v>695</v>
      </c>
      <c r="C36" s="298"/>
      <c r="D36" s="318">
        <f>'MCS Budget - Detailed'!N278+'MCS Budget - Detailed'!N379+'MCS Budget - Detailed'!N277</f>
        <v>7000</v>
      </c>
      <c r="E36" s="290"/>
      <c r="F36" s="318">
        <f>SUM('CCS Budget - Detailed'!H120)</f>
        <v>11000</v>
      </c>
      <c r="G36" s="290"/>
      <c r="H36" s="318">
        <v>0</v>
      </c>
      <c r="I36" s="290"/>
      <c r="J36" s="318">
        <v>0</v>
      </c>
      <c r="K36" s="290"/>
      <c r="L36" s="289"/>
      <c r="M36" s="290"/>
      <c r="N36" s="318">
        <v>0</v>
      </c>
      <c r="O36" s="290"/>
      <c r="P36" s="318"/>
      <c r="Q36" s="290"/>
      <c r="R36" s="318">
        <v>0</v>
      </c>
      <c r="S36" s="290"/>
      <c r="T36" s="318"/>
      <c r="U36" s="290"/>
      <c r="V36" s="318"/>
      <c r="W36" s="290"/>
      <c r="X36" s="318"/>
      <c r="Y36" s="290"/>
      <c r="Z36" s="290"/>
      <c r="AA36" s="318"/>
      <c r="AB36" s="290"/>
      <c r="AC36" s="318">
        <v>0</v>
      </c>
      <c r="AD36" s="290"/>
      <c r="AE36" s="318"/>
      <c r="AF36" s="290"/>
      <c r="AG36" s="318">
        <v>0</v>
      </c>
      <c r="AH36" s="290"/>
      <c r="AI36" s="318"/>
      <c r="AJ36" s="290"/>
      <c r="AK36" s="318">
        <v>0</v>
      </c>
      <c r="AL36" s="290"/>
      <c r="AM36" s="318"/>
      <c r="AN36" s="290"/>
      <c r="AO36" s="318"/>
      <c r="AP36" s="290"/>
      <c r="AQ36" s="318"/>
      <c r="AR36" s="290"/>
      <c r="AS36" s="318"/>
      <c r="AT36" s="290"/>
      <c r="AU36" s="290"/>
      <c r="AV36" s="318"/>
      <c r="AW36" s="290"/>
      <c r="AX36" s="318"/>
      <c r="AY36" s="290"/>
      <c r="AZ36" s="318"/>
      <c r="BA36" s="290"/>
      <c r="BB36" s="318"/>
      <c r="BC36" s="290"/>
      <c r="BD36" s="318">
        <v>0</v>
      </c>
      <c r="BE36" s="290"/>
      <c r="BF36" s="318"/>
      <c r="BG36" s="290"/>
      <c r="BH36" s="318"/>
      <c r="BI36" s="291"/>
      <c r="BJ36" s="292">
        <f t="shared" si="0"/>
        <v>18000</v>
      </c>
      <c r="BK36" s="298"/>
      <c r="BL36" s="299"/>
      <c r="BM36" s="299"/>
      <c r="BN36" s="300"/>
    </row>
    <row r="37" spans="1:66" s="301" customFormat="1" ht="18" x14ac:dyDescent="0.25">
      <c r="A37" s="268" t="s">
        <v>750</v>
      </c>
      <c r="B37" s="317" t="s">
        <v>696</v>
      </c>
      <c r="C37" s="298"/>
      <c r="D37" s="318">
        <f>'MCS Budget - Detailed'!N212+'MCS Budget - Detailed'!N213+'MCS Budget - Detailed'!N331+'MCS Budget - Detailed'!N381+'MCS Budget - Detailed'!N383+'MCS Budget - Detailed'!N404+'MCS Budget - Detailed'!N461+'MCS Budget - Detailed'!N537+'MCS Budget - Detailed'!N552+'MCS Budget - Detailed'!N553+'MCS Budget - Detailed'!N587+'MCS Budget - Detailed'!N607+'MCS Budget - Detailed'!N608+'MCS Budget - Detailed'!N380+'MCS Budget - Detailed'!N403</f>
        <v>52031</v>
      </c>
      <c r="E37" s="290"/>
      <c r="F37" s="318">
        <f>SUM('CCS Budget - Detailed'!H44+'CCS Budget - Detailed'!H55+'CCS Budget - Detailed'!H65+'CCS Budget - Detailed'!H75+'CCS Budget - Detailed'!H92+'CCS Budget - Detailed'!H103+'CCS Budget - Detailed'!H121+'CCS Budget - Detailed'!H122+'CCS Budget - Detailed'!H123+'CCS Budget - Detailed'!H148+'CCS Budget - Detailed'!H180+'CCS Budget - Detailed'!H197+'CCS Budget - Detailed'!H229)</f>
        <v>49261</v>
      </c>
      <c r="G37" s="290"/>
      <c r="H37" s="318">
        <v>0</v>
      </c>
      <c r="I37" s="290"/>
      <c r="J37" s="318">
        <v>0</v>
      </c>
      <c r="K37" s="290"/>
      <c r="L37" s="289"/>
      <c r="M37" s="290"/>
      <c r="N37" s="318">
        <v>0</v>
      </c>
      <c r="O37" s="290"/>
      <c r="P37" s="318"/>
      <c r="Q37" s="290"/>
      <c r="R37" s="318">
        <v>0</v>
      </c>
      <c r="S37" s="290"/>
      <c r="T37" s="318"/>
      <c r="U37" s="290"/>
      <c r="V37" s="318"/>
      <c r="W37" s="290"/>
      <c r="X37" s="318"/>
      <c r="Y37" s="290"/>
      <c r="Z37" s="290"/>
      <c r="AA37" s="318"/>
      <c r="AB37" s="290"/>
      <c r="AC37" s="318">
        <v>0</v>
      </c>
      <c r="AD37" s="290"/>
      <c r="AE37" s="318"/>
      <c r="AF37" s="290"/>
      <c r="AG37" s="318">
        <v>0</v>
      </c>
      <c r="AH37" s="290"/>
      <c r="AI37" s="318"/>
      <c r="AJ37" s="290"/>
      <c r="AK37" s="318">
        <v>0</v>
      </c>
      <c r="AL37" s="290"/>
      <c r="AM37" s="318"/>
      <c r="AN37" s="290"/>
      <c r="AO37" s="318"/>
      <c r="AP37" s="290"/>
      <c r="AQ37" s="318"/>
      <c r="AR37" s="290"/>
      <c r="AS37" s="318"/>
      <c r="AT37" s="290"/>
      <c r="AU37" s="290"/>
      <c r="AV37" s="318"/>
      <c r="AW37" s="290"/>
      <c r="AX37" s="318"/>
      <c r="AY37" s="290"/>
      <c r="AZ37" s="318"/>
      <c r="BA37" s="290"/>
      <c r="BB37" s="318"/>
      <c r="BC37" s="290"/>
      <c r="BD37" s="318">
        <v>0</v>
      </c>
      <c r="BE37" s="290"/>
      <c r="BF37" s="318"/>
      <c r="BG37" s="290"/>
      <c r="BH37" s="318"/>
      <c r="BI37" s="291"/>
      <c r="BJ37" s="292">
        <f t="shared" si="0"/>
        <v>101292</v>
      </c>
      <c r="BK37" s="298"/>
      <c r="BL37" s="299"/>
      <c r="BM37" s="299"/>
      <c r="BN37" s="300"/>
    </row>
    <row r="38" spans="1:66" s="301" customFormat="1" ht="18" x14ac:dyDescent="0.25">
      <c r="A38" s="268" t="s">
        <v>697</v>
      </c>
      <c r="B38" s="317" t="s">
        <v>624</v>
      </c>
      <c r="C38" s="298"/>
      <c r="D38" s="289">
        <f>'MCS Budget - Detailed'!N73+'MCS Budget - Detailed'!N89+'MCS Budget - Detailed'!N104+'MCS Budget - Detailed'!N114+'MCS Budget - Detailed'!N124+'MCS Budget - Detailed'!N134+'MCS Budget - Detailed'!N155+'MCS Budget - Detailed'!N165+'MCS Budget - Detailed'!N175+'MCS Budget - Detailed'!N186+'MCS Budget - Detailed'!N195+'MCS Budget - Detailed'!N214+'MCS Budget - Detailed'!N215+'MCS Budget - Detailed'!N237+'MCS Budget - Detailed'!N238+'MCS Budget - Detailed'!N248+'MCS Budget - Detailed'!N258+'MCS Budget - Detailed'!N280+'MCS Budget - Detailed'!N302+'MCS Budget - Detailed'!N313+'MCS Budget - Detailed'!N323+'MCS Budget - Detailed'!N332+'MCS Budget - Detailed'!N334+'MCS Budget - Detailed'!N385+'MCS Budget - Detailed'!N395+'MCS Budget - Detailed'!N405+'MCS Budget - Detailed'!N416+'MCS Budget - Detailed'!N445+'MCS Budget - Detailed'!N463+'MCS Budget - Detailed'!N538+'MCS Budget - Detailed'!N554+'MCS Budget - Detailed'!N555+'MCS Budget - Detailed'!N576+'MCS Budget - Detailed'!N580+'MCS Budget - Detailed'!N582+'MCS Budget - Detailed'!N609+'MCS Budget - Detailed'!N281+'MCS Budget - Detailed'!N392+'MCS Budget - Detailed'!N396+'MCS Budget - Detailed'!N417+'MCS Budget - Detailed'!N418+'MCS Budget - Detailed'!N464+'MCS Budget - Detailed'!N462+'MCS Budget - Detailed'!N393+'MCS Budget - Detailed'!N446+'MCS Budget - Detailed'!N185+'MCS Budget - Detailed'!N394+'MCS Budget - Detailed'!N312+'MCS Budget - Detailed'!N333+'MCS Budget - Detailed'!N144+'MCS Budget - Detailed'!N205+'MCS Budget - Detailed'!N227+'MCS Budget - Detailed'!N419+'MCS Budget - Detailed'!N74+'MCS Budget - Detailed'!N279+'MCS Budget - Detailed'!N386+'MCS Budget - Detailed'!N387+'MCS Budget - Detailed'!N388+'MCS Budget - Detailed'!N389+'MCS Budget - Detailed'!N390+'MCS Budget - Detailed'!N430+'MCS Budget - Detailed'!N577+'MCS Budget - Detailed'!N391</f>
        <v>109615</v>
      </c>
      <c r="E38" s="290"/>
      <c r="F38" s="289">
        <f>SUM('CCS Budget - Detailed'!H45+'CCS Budget - Detailed'!H46+'CCS Budget - Detailed'!H56+'CCS Budget - Detailed'!H57+'CCS Budget - Detailed'!H66+'CCS Budget - Detailed'!H67+'CCS Budget - Detailed'!H76+'CCS Budget - Detailed'!H77+'CCS Budget - Detailed'!H84+'CCS Budget - Detailed'!H93+'CCS Budget - Detailed'!H94+'CCS Budget - Detailed'!H104+'CCS Budget - Detailed'!H105+'CCS Budget - Detailed'!H124+'CCS Budget - Detailed'!H125+'CCS Budget - Detailed'!H126+'CCS Budget - Detailed'!H127+'CCS Budget - Detailed'!H128+'CCS Budget - Detailed'!H129+'CCS Budget - Detailed'!H130+'CCS Budget - Detailed'!H140+'CCS Budget - Detailed'!H147+'CCS Budget - Detailed'!H156+'CCS Budget - Detailed'!H157+'CCS Budget - Detailed'!H181+'CCS Budget - Detailed'!H182+'CCS Budget - Detailed'!H190+'CCS Budget - Detailed'!H198+'CCS Budget - Detailed'!H205+'CCS Budget - Detailed'!H208+'CCS Budget - Detailed'!H217+'CCS Budget - Detailed'!H226+'CCS Budget - Detailed'!H238)</f>
        <v>74822</v>
      </c>
      <c r="G38" s="290"/>
      <c r="H38" s="289">
        <v>0</v>
      </c>
      <c r="I38" s="290"/>
      <c r="J38" s="289">
        <f>'MCS Budget - Detailed'!N889+'MCS Budget - Detailed'!N870</f>
        <v>20245</v>
      </c>
      <c r="K38" s="290"/>
      <c r="L38" s="289"/>
      <c r="M38" s="290"/>
      <c r="N38" s="289">
        <v>0</v>
      </c>
      <c r="O38" s="290"/>
      <c r="P38" s="289">
        <v>0</v>
      </c>
      <c r="Q38" s="290"/>
      <c r="R38" s="289">
        <f>'MCS Budget - Detailed'!N1031+'CCS Budget - Detailed'!I383</f>
        <v>202243</v>
      </c>
      <c r="S38" s="290"/>
      <c r="T38" s="289">
        <v>0</v>
      </c>
      <c r="U38" s="290"/>
      <c r="V38" s="289">
        <v>0</v>
      </c>
      <c r="W38" s="290"/>
      <c r="X38" s="289">
        <v>0</v>
      </c>
      <c r="Y38" s="290"/>
      <c r="Z38" s="290"/>
      <c r="AA38" s="289">
        <v>0</v>
      </c>
      <c r="AB38" s="290"/>
      <c r="AC38" s="289">
        <v>0</v>
      </c>
      <c r="AD38" s="290"/>
      <c r="AE38" s="289">
        <v>0</v>
      </c>
      <c r="AF38" s="290"/>
      <c r="AG38" s="289">
        <v>0</v>
      </c>
      <c r="AH38" s="290"/>
      <c r="AI38" s="289">
        <v>0</v>
      </c>
      <c r="AJ38" s="290"/>
      <c r="AK38" s="289">
        <v>0</v>
      </c>
      <c r="AL38" s="290"/>
      <c r="AM38" s="289">
        <v>0</v>
      </c>
      <c r="AN38" s="290"/>
      <c r="AO38" s="289">
        <v>0</v>
      </c>
      <c r="AP38" s="290"/>
      <c r="AQ38" s="289">
        <v>0</v>
      </c>
      <c r="AR38" s="290"/>
      <c r="AS38" s="289">
        <v>0</v>
      </c>
      <c r="AT38" s="290"/>
      <c r="AU38" s="290"/>
      <c r="AV38" s="289">
        <v>0</v>
      </c>
      <c r="AW38" s="290"/>
      <c r="AX38" s="289">
        <v>0</v>
      </c>
      <c r="AY38" s="290"/>
      <c r="AZ38" s="289">
        <v>0</v>
      </c>
      <c r="BA38" s="290"/>
      <c r="BB38" s="289">
        <v>0</v>
      </c>
      <c r="BC38" s="290"/>
      <c r="BD38" s="289">
        <v>0</v>
      </c>
      <c r="BE38" s="290"/>
      <c r="BF38" s="289">
        <v>0</v>
      </c>
      <c r="BG38" s="290"/>
      <c r="BH38" s="289">
        <v>0</v>
      </c>
      <c r="BI38" s="291"/>
      <c r="BJ38" s="292">
        <f t="shared" si="0"/>
        <v>406925</v>
      </c>
      <c r="BK38" s="298"/>
      <c r="BL38" s="299"/>
      <c r="BM38" s="299"/>
      <c r="BN38" s="300"/>
    </row>
    <row r="39" spans="1:66" s="301" customFormat="1" ht="18" x14ac:dyDescent="0.25">
      <c r="A39" s="268" t="s">
        <v>698</v>
      </c>
      <c r="B39" s="317" t="s">
        <v>492</v>
      </c>
      <c r="C39" s="298"/>
      <c r="D39" s="289">
        <f>'MCS Budget - Detailed'!N284+'MCS Budget - Detailed'!N406+'MCS Budget - Detailed'!N435+'MCS Budget - Detailed'!N283+'MCS Budget - Detailed'!N556+'MCS Budget - Detailed'!N578+'MCS Budget - Detailed'!N434+'MCS Budget - Detailed'!N431+'MCS Budget - Detailed'!N432+'MCS Budget - Detailed'!N282+'MCS Budget - Detailed'!N433</f>
        <v>13654</v>
      </c>
      <c r="E39" s="290"/>
      <c r="F39" s="289">
        <f>SUM('CCS Budget - Detailed'!H47+'CCS Budget - Detailed'!H131+'CCS Budget - Detailed'!H132)</f>
        <v>17266</v>
      </c>
      <c r="G39" s="290"/>
      <c r="H39" s="289">
        <v>0</v>
      </c>
      <c r="I39" s="290"/>
      <c r="J39" s="289">
        <f>'MCS Budget - Detailed'!N890</f>
        <v>5000</v>
      </c>
      <c r="K39" s="290"/>
      <c r="L39" s="289"/>
      <c r="M39" s="290"/>
      <c r="N39" s="289">
        <v>0</v>
      </c>
      <c r="O39" s="290"/>
      <c r="P39" s="289">
        <v>0</v>
      </c>
      <c r="Q39" s="290"/>
      <c r="R39" s="289">
        <v>0</v>
      </c>
      <c r="S39" s="290"/>
      <c r="T39" s="289">
        <v>0</v>
      </c>
      <c r="U39" s="290"/>
      <c r="V39" s="289">
        <v>0</v>
      </c>
      <c r="W39" s="290"/>
      <c r="X39" s="289">
        <v>0</v>
      </c>
      <c r="Y39" s="290"/>
      <c r="Z39" s="290"/>
      <c r="AA39" s="289">
        <v>0</v>
      </c>
      <c r="AB39" s="290"/>
      <c r="AC39" s="289">
        <v>0</v>
      </c>
      <c r="AD39" s="290"/>
      <c r="AE39" s="289">
        <v>0</v>
      </c>
      <c r="AF39" s="290"/>
      <c r="AG39" s="289">
        <v>0</v>
      </c>
      <c r="AH39" s="290"/>
      <c r="AI39" s="289">
        <v>0</v>
      </c>
      <c r="AJ39" s="290"/>
      <c r="AK39" s="289">
        <v>0</v>
      </c>
      <c r="AL39" s="290"/>
      <c r="AM39" s="289">
        <v>0</v>
      </c>
      <c r="AN39" s="290"/>
      <c r="AO39" s="289">
        <v>0</v>
      </c>
      <c r="AP39" s="290"/>
      <c r="AQ39" s="289">
        <v>0</v>
      </c>
      <c r="AR39" s="290"/>
      <c r="AS39" s="289">
        <v>0</v>
      </c>
      <c r="AT39" s="290"/>
      <c r="AU39" s="290"/>
      <c r="AV39" s="289">
        <v>0</v>
      </c>
      <c r="AW39" s="290"/>
      <c r="AX39" s="289">
        <v>0</v>
      </c>
      <c r="AY39" s="290"/>
      <c r="AZ39" s="289">
        <v>0</v>
      </c>
      <c r="BA39" s="290"/>
      <c r="BB39" s="289">
        <v>0</v>
      </c>
      <c r="BC39" s="290"/>
      <c r="BD39" s="289">
        <v>0</v>
      </c>
      <c r="BE39" s="290"/>
      <c r="BF39" s="289">
        <v>0</v>
      </c>
      <c r="BG39" s="290"/>
      <c r="BH39" s="289">
        <v>0</v>
      </c>
      <c r="BI39" s="291"/>
      <c r="BJ39" s="292">
        <f t="shared" si="0"/>
        <v>35920</v>
      </c>
      <c r="BK39" s="298"/>
      <c r="BL39" s="299"/>
      <c r="BM39" s="299"/>
      <c r="BN39" s="300"/>
    </row>
    <row r="40" spans="1:66" s="301" customFormat="1" ht="18" x14ac:dyDescent="0.25">
      <c r="A40" s="268" t="s">
        <v>699</v>
      </c>
      <c r="B40" s="317" t="s">
        <v>700</v>
      </c>
      <c r="C40" s="291"/>
      <c r="D40" s="289">
        <f>'MCS Budget - Detailed'!N216+'MCS Budget - Detailed'!N335+'MCS Budget - Detailed'!N397+'MCS Budget - Detailed'!N465</f>
        <v>9500</v>
      </c>
      <c r="E40" s="290"/>
      <c r="F40" s="289">
        <v>0</v>
      </c>
      <c r="G40" s="290"/>
      <c r="H40" s="289">
        <v>0</v>
      </c>
      <c r="I40" s="290"/>
      <c r="J40" s="289">
        <v>0</v>
      </c>
      <c r="K40" s="290"/>
      <c r="L40" s="289"/>
      <c r="M40" s="290"/>
      <c r="N40" s="289">
        <v>0</v>
      </c>
      <c r="O40" s="290"/>
      <c r="P40" s="289">
        <v>0</v>
      </c>
      <c r="Q40" s="290"/>
      <c r="R40" s="289">
        <v>0</v>
      </c>
      <c r="S40" s="290"/>
      <c r="T40" s="289">
        <v>0</v>
      </c>
      <c r="U40" s="290"/>
      <c r="V40" s="289">
        <v>0</v>
      </c>
      <c r="W40" s="290"/>
      <c r="X40" s="289">
        <v>0</v>
      </c>
      <c r="Y40" s="290"/>
      <c r="Z40" s="290"/>
      <c r="AA40" s="289">
        <v>0</v>
      </c>
      <c r="AB40" s="290"/>
      <c r="AC40" s="289">
        <v>0</v>
      </c>
      <c r="AD40" s="290"/>
      <c r="AE40" s="289">
        <v>0</v>
      </c>
      <c r="AF40" s="290"/>
      <c r="AG40" s="289">
        <v>0</v>
      </c>
      <c r="AH40" s="290"/>
      <c r="AI40" s="289">
        <v>0</v>
      </c>
      <c r="AJ40" s="290"/>
      <c r="AK40" s="289">
        <v>0</v>
      </c>
      <c r="AL40" s="290"/>
      <c r="AM40" s="289">
        <v>0</v>
      </c>
      <c r="AN40" s="290"/>
      <c r="AO40" s="289">
        <v>0</v>
      </c>
      <c r="AP40" s="290"/>
      <c r="AQ40" s="289">
        <v>0</v>
      </c>
      <c r="AR40" s="290"/>
      <c r="AS40" s="289">
        <v>0</v>
      </c>
      <c r="AT40" s="290"/>
      <c r="AU40" s="290"/>
      <c r="AV40" s="289">
        <v>0</v>
      </c>
      <c r="AW40" s="290"/>
      <c r="AX40" s="289">
        <v>0</v>
      </c>
      <c r="AY40" s="290"/>
      <c r="AZ40" s="289">
        <v>0</v>
      </c>
      <c r="BA40" s="290"/>
      <c r="BB40" s="289">
        <v>0</v>
      </c>
      <c r="BC40" s="290"/>
      <c r="BD40" s="289">
        <v>0</v>
      </c>
      <c r="BE40" s="290"/>
      <c r="BF40" s="289">
        <v>0</v>
      </c>
      <c r="BG40" s="290"/>
      <c r="BH40" s="289">
        <v>0</v>
      </c>
      <c r="BI40" s="291"/>
      <c r="BJ40" s="292">
        <f t="shared" si="0"/>
        <v>9500</v>
      </c>
      <c r="BK40" s="291"/>
      <c r="BL40" s="299"/>
      <c r="BM40" s="299"/>
      <c r="BN40" s="300"/>
    </row>
    <row r="41" spans="1:66" s="301" customFormat="1" ht="18.75" thickBot="1" x14ac:dyDescent="0.3">
      <c r="A41" s="268" t="s">
        <v>751</v>
      </c>
      <c r="B41" s="317" t="s">
        <v>506</v>
      </c>
      <c r="C41" s="291"/>
      <c r="D41" s="289"/>
      <c r="E41" s="290"/>
      <c r="F41" s="289"/>
      <c r="G41" s="290"/>
      <c r="H41" s="289"/>
      <c r="I41" s="290"/>
      <c r="J41" s="289"/>
      <c r="K41" s="290"/>
      <c r="L41" s="289"/>
      <c r="M41" s="290"/>
      <c r="N41" s="289"/>
      <c r="O41" s="290"/>
      <c r="P41" s="289"/>
      <c r="Q41" s="290"/>
      <c r="R41" s="289"/>
      <c r="S41" s="290"/>
      <c r="T41" s="289"/>
      <c r="U41" s="290"/>
      <c r="V41" s="289"/>
      <c r="W41" s="290"/>
      <c r="X41" s="289"/>
      <c r="Y41" s="290"/>
      <c r="Z41" s="290"/>
      <c r="AA41" s="289"/>
      <c r="AB41" s="290"/>
      <c r="AC41" s="289"/>
      <c r="AD41" s="290"/>
      <c r="AE41" s="289"/>
      <c r="AF41" s="290"/>
      <c r="AG41" s="289"/>
      <c r="AH41" s="290"/>
      <c r="AI41" s="289"/>
      <c r="AJ41" s="290"/>
      <c r="AK41" s="289"/>
      <c r="AL41" s="290"/>
      <c r="AM41" s="289"/>
      <c r="AN41" s="290"/>
      <c r="AO41" s="289"/>
      <c r="AP41" s="290"/>
      <c r="AQ41" s="289"/>
      <c r="AR41" s="290"/>
      <c r="AS41" s="289"/>
      <c r="AT41" s="290"/>
      <c r="AU41" s="290"/>
      <c r="AV41" s="289"/>
      <c r="AW41" s="290"/>
      <c r="AX41" s="289"/>
      <c r="AY41" s="290"/>
      <c r="AZ41" s="289"/>
      <c r="BA41" s="290"/>
      <c r="BB41" s="289"/>
      <c r="BC41" s="290"/>
      <c r="BD41" s="289"/>
      <c r="BE41" s="290"/>
      <c r="BF41" s="289"/>
      <c r="BG41" s="290"/>
      <c r="BH41" s="289"/>
      <c r="BI41" s="291"/>
      <c r="BJ41" s="292"/>
      <c r="BK41" s="291"/>
      <c r="BL41" s="299"/>
      <c r="BM41" s="299"/>
      <c r="BN41" s="300"/>
    </row>
    <row r="42" spans="1:66" s="301" customFormat="1" ht="18.75" thickBot="1" x14ac:dyDescent="0.3">
      <c r="A42" s="303" t="s">
        <v>701</v>
      </c>
      <c r="B42" s="312"/>
      <c r="C42" s="307"/>
      <c r="D42" s="306">
        <f>SUM(D33:D41)</f>
        <v>1358465</v>
      </c>
      <c r="E42" s="307"/>
      <c r="F42" s="306">
        <f>SUM(F33:F40)</f>
        <v>677137</v>
      </c>
      <c r="G42" s="307"/>
      <c r="H42" s="306">
        <f>SUM(H33:H40)</f>
        <v>0</v>
      </c>
      <c r="I42" s="307"/>
      <c r="J42" s="306">
        <f>SUM(J33:J40)</f>
        <v>140778</v>
      </c>
      <c r="K42" s="307"/>
      <c r="L42" s="306">
        <f>SUM(L33:L40)</f>
        <v>0</v>
      </c>
      <c r="M42" s="307"/>
      <c r="N42" s="306">
        <f>SUM(N33:N40)</f>
        <v>0</v>
      </c>
      <c r="O42" s="307"/>
      <c r="P42" s="306">
        <f>SUM(P33:P40)</f>
        <v>0</v>
      </c>
      <c r="Q42" s="307"/>
      <c r="R42" s="306">
        <f>SUM(R33:R40)</f>
        <v>202243</v>
      </c>
      <c r="S42" s="307"/>
      <c r="T42" s="306">
        <f>SUM(T33:T40)</f>
        <v>0</v>
      </c>
      <c r="U42" s="307"/>
      <c r="V42" s="306">
        <f>SUM(V33:V40)</f>
        <v>0</v>
      </c>
      <c r="W42" s="307"/>
      <c r="X42" s="306">
        <f>SUM(X33:X40)</f>
        <v>0</v>
      </c>
      <c r="Y42" s="307"/>
      <c r="Z42" s="307"/>
      <c r="AA42" s="306">
        <f>SUM(AA33:AA40)</f>
        <v>0</v>
      </c>
      <c r="AB42" s="307"/>
      <c r="AC42" s="306">
        <f>SUM(AC33:AC40)</f>
        <v>0</v>
      </c>
      <c r="AD42" s="307"/>
      <c r="AE42" s="306">
        <f>SUM(AE33:AE40)</f>
        <v>0</v>
      </c>
      <c r="AF42" s="307"/>
      <c r="AG42" s="306">
        <f>SUM(AG33:AG40)</f>
        <v>0</v>
      </c>
      <c r="AH42" s="307"/>
      <c r="AI42" s="306">
        <f>SUM(AI33:AI40)</f>
        <v>0</v>
      </c>
      <c r="AJ42" s="307"/>
      <c r="AK42" s="306">
        <f>SUM(AK33:AK40)</f>
        <v>0</v>
      </c>
      <c r="AL42" s="307"/>
      <c r="AM42" s="306">
        <f>SUM(AM33:AM40)</f>
        <v>0</v>
      </c>
      <c r="AN42" s="307"/>
      <c r="AO42" s="306">
        <f>SUM(AO33:AO40)</f>
        <v>0</v>
      </c>
      <c r="AP42" s="307"/>
      <c r="AQ42" s="306">
        <f>SUM(AQ33:AQ40)</f>
        <v>0</v>
      </c>
      <c r="AR42" s="307"/>
      <c r="AS42" s="306">
        <f>SUM(AS33:AS40)</f>
        <v>0</v>
      </c>
      <c r="AT42" s="307"/>
      <c r="AU42" s="307"/>
      <c r="AV42" s="306">
        <f>SUM(AV33:AV40)</f>
        <v>0</v>
      </c>
      <c r="AW42" s="307"/>
      <c r="AX42" s="306">
        <f>SUM(AX33:AX40)</f>
        <v>0</v>
      </c>
      <c r="AY42" s="307"/>
      <c r="AZ42" s="306">
        <f>SUM(AZ33:AZ40)</f>
        <v>0</v>
      </c>
      <c r="BA42" s="307"/>
      <c r="BB42" s="306">
        <f>SUM(BB33:BB40)</f>
        <v>0</v>
      </c>
      <c r="BC42" s="307"/>
      <c r="BD42" s="306">
        <f>SUM(BD33:BD40)</f>
        <v>0</v>
      </c>
      <c r="BE42" s="307"/>
      <c r="BF42" s="306">
        <f>SUM(BF33:BF40)</f>
        <v>0</v>
      </c>
      <c r="BG42" s="307"/>
      <c r="BH42" s="306">
        <f>SUM(BH33:BH40)</f>
        <v>0</v>
      </c>
      <c r="BI42" s="307"/>
      <c r="BJ42" s="306">
        <f>D42+F42+H42+J42+X42+N42+P42+R42+T42+V42+AA42+AC42+AG42+AI42+AK42+AM42+AO42+AQ42+AS42+AV42+AX42+AZ42+BB42+BD42+BH42+BF42+AE42</f>
        <v>2378623</v>
      </c>
      <c r="BK42" s="307"/>
      <c r="BL42" s="308"/>
      <c r="BM42" s="308"/>
      <c r="BN42" s="300"/>
    </row>
    <row r="43" spans="1:66" s="301" customFormat="1" ht="18" x14ac:dyDescent="0.25">
      <c r="A43" s="268" t="s">
        <v>702</v>
      </c>
      <c r="B43" s="294"/>
      <c r="C43" s="298"/>
      <c r="D43" s="292"/>
      <c r="E43" s="291"/>
      <c r="F43" s="292"/>
      <c r="G43" s="291"/>
      <c r="H43" s="292"/>
      <c r="I43" s="291"/>
      <c r="J43" s="292"/>
      <c r="K43" s="291"/>
      <c r="L43" s="309"/>
      <c r="M43" s="291"/>
      <c r="N43" s="292"/>
      <c r="O43" s="291"/>
      <c r="P43" s="292"/>
      <c r="Q43" s="291"/>
      <c r="R43" s="292"/>
      <c r="S43" s="291"/>
      <c r="T43" s="292"/>
      <c r="U43" s="291"/>
      <c r="V43" s="292"/>
      <c r="W43" s="291"/>
      <c r="X43" s="292"/>
      <c r="Y43" s="291"/>
      <c r="Z43" s="291"/>
      <c r="AA43" s="292"/>
      <c r="AB43" s="291"/>
      <c r="AC43" s="292"/>
      <c r="AD43" s="291"/>
      <c r="AE43" s="292"/>
      <c r="AF43" s="291"/>
      <c r="AG43" s="292"/>
      <c r="AH43" s="291"/>
      <c r="AI43" s="292"/>
      <c r="AJ43" s="291"/>
      <c r="AK43" s="292"/>
      <c r="AL43" s="291"/>
      <c r="AM43" s="292"/>
      <c r="AN43" s="291"/>
      <c r="AO43" s="292"/>
      <c r="AP43" s="291"/>
      <c r="AQ43" s="292"/>
      <c r="AR43" s="291"/>
      <c r="AS43" s="292"/>
      <c r="AT43" s="291"/>
      <c r="AU43" s="291"/>
      <c r="AV43" s="292"/>
      <c r="AW43" s="291"/>
      <c r="AX43" s="292"/>
      <c r="AY43" s="291"/>
      <c r="AZ43" s="292"/>
      <c r="BA43" s="291"/>
      <c r="BB43" s="292"/>
      <c r="BC43" s="291"/>
      <c r="BD43" s="292"/>
      <c r="BE43" s="291"/>
      <c r="BF43" s="292"/>
      <c r="BG43" s="291"/>
      <c r="BH43" s="292"/>
      <c r="BI43" s="291"/>
      <c r="BJ43" s="300"/>
      <c r="BK43" s="298"/>
      <c r="BL43" s="299"/>
      <c r="BM43" s="299"/>
      <c r="BN43" s="300"/>
    </row>
    <row r="44" spans="1:66" s="301" customFormat="1" ht="13.9" customHeight="1" x14ac:dyDescent="0.25">
      <c r="A44" s="268" t="s">
        <v>703</v>
      </c>
      <c r="B44" s="294"/>
      <c r="C44" s="298"/>
      <c r="D44" s="292"/>
      <c r="E44" s="291"/>
      <c r="F44" s="292"/>
      <c r="G44" s="291"/>
      <c r="H44" s="292"/>
      <c r="I44" s="291"/>
      <c r="J44" s="292"/>
      <c r="K44" s="291"/>
      <c r="L44" s="309"/>
      <c r="M44" s="291"/>
      <c r="N44" s="292"/>
      <c r="O44" s="291"/>
      <c r="P44" s="292"/>
      <c r="Q44" s="291"/>
      <c r="R44" s="292"/>
      <c r="S44" s="291"/>
      <c r="T44" s="292"/>
      <c r="U44" s="291"/>
      <c r="V44" s="292"/>
      <c r="W44" s="291"/>
      <c r="X44" s="292"/>
      <c r="Y44" s="291"/>
      <c r="Z44" s="291"/>
      <c r="AA44" s="292"/>
      <c r="AB44" s="291"/>
      <c r="AC44" s="292"/>
      <c r="AD44" s="291"/>
      <c r="AE44" s="292"/>
      <c r="AF44" s="291"/>
      <c r="AG44" s="292"/>
      <c r="AH44" s="291"/>
      <c r="AI44" s="292"/>
      <c r="AJ44" s="291"/>
      <c r="AK44" s="292"/>
      <c r="AL44" s="291"/>
      <c r="AM44" s="292"/>
      <c r="AN44" s="291"/>
      <c r="AO44" s="292"/>
      <c r="AP44" s="291"/>
      <c r="AQ44" s="292"/>
      <c r="AR44" s="291"/>
      <c r="AS44" s="292"/>
      <c r="AT44" s="291"/>
      <c r="AU44" s="291"/>
      <c r="AV44" s="292"/>
      <c r="AW44" s="291"/>
      <c r="AX44" s="292"/>
      <c r="AY44" s="291"/>
      <c r="AZ44" s="292"/>
      <c r="BA44" s="291"/>
      <c r="BB44" s="292"/>
      <c r="BC44" s="291"/>
      <c r="BD44" s="292"/>
      <c r="BE44" s="291"/>
      <c r="BF44" s="292"/>
      <c r="BG44" s="291"/>
      <c r="BH44" s="292"/>
      <c r="BI44" s="291"/>
      <c r="BJ44" s="300"/>
      <c r="BK44" s="298"/>
      <c r="BL44" s="299"/>
      <c r="BM44" s="299"/>
      <c r="BN44" s="300"/>
    </row>
    <row r="45" spans="1:66" s="301" customFormat="1" ht="18" x14ac:dyDescent="0.25">
      <c r="A45" s="268" t="s">
        <v>690</v>
      </c>
      <c r="B45" s="317" t="s">
        <v>691</v>
      </c>
      <c r="C45" s="298"/>
      <c r="D45" s="302">
        <f>'MCS Budget - Detailed'!N611+'MCS Budget - Detailed'!N467+'MCS Budget - Detailed'!N626+'MCS Budget - Detailed'!N473</f>
        <v>101763</v>
      </c>
      <c r="E45" s="290"/>
      <c r="F45" s="302">
        <f>SUM('CCS Budget - Detailed'!H168+'CCS Budget - Detailed'!H183+'CCS Budget - Detailed'!H211)</f>
        <v>51948</v>
      </c>
      <c r="G45" s="290"/>
      <c r="H45" s="302">
        <v>0</v>
      </c>
      <c r="I45" s="290"/>
      <c r="J45" s="302">
        <f>'MCS Budget - Detailed'!N892</f>
        <v>8500</v>
      </c>
      <c r="K45" s="290"/>
      <c r="L45" s="289"/>
      <c r="M45" s="290"/>
      <c r="N45" s="302">
        <v>0</v>
      </c>
      <c r="O45" s="290"/>
      <c r="P45" s="302">
        <v>0</v>
      </c>
      <c r="Q45" s="290"/>
      <c r="R45" s="302">
        <v>0</v>
      </c>
      <c r="S45" s="290"/>
      <c r="T45" s="302">
        <v>0</v>
      </c>
      <c r="U45" s="290"/>
      <c r="V45" s="302">
        <v>0</v>
      </c>
      <c r="W45" s="290"/>
      <c r="X45" s="302">
        <v>0</v>
      </c>
      <c r="Y45" s="290"/>
      <c r="Z45" s="290"/>
      <c r="AA45" s="302">
        <v>0</v>
      </c>
      <c r="AB45" s="290"/>
      <c r="AC45" s="302">
        <v>0</v>
      </c>
      <c r="AD45" s="290"/>
      <c r="AE45" s="302">
        <v>0</v>
      </c>
      <c r="AF45" s="290"/>
      <c r="AG45" s="302">
        <v>0</v>
      </c>
      <c r="AH45" s="290"/>
      <c r="AI45" s="302">
        <v>0</v>
      </c>
      <c r="AJ45" s="290"/>
      <c r="AK45" s="302">
        <v>0</v>
      </c>
      <c r="AL45" s="290"/>
      <c r="AM45" s="302">
        <v>0</v>
      </c>
      <c r="AN45" s="290"/>
      <c r="AO45" s="302">
        <v>0</v>
      </c>
      <c r="AP45" s="290"/>
      <c r="AQ45" s="302">
        <v>0</v>
      </c>
      <c r="AR45" s="290"/>
      <c r="AS45" s="302">
        <v>0</v>
      </c>
      <c r="AT45" s="290"/>
      <c r="AU45" s="290"/>
      <c r="AV45" s="302">
        <v>0</v>
      </c>
      <c r="AW45" s="290"/>
      <c r="AX45" s="302">
        <v>0</v>
      </c>
      <c r="AY45" s="290"/>
      <c r="AZ45" s="302">
        <v>0</v>
      </c>
      <c r="BA45" s="290"/>
      <c r="BB45" s="302">
        <v>0</v>
      </c>
      <c r="BC45" s="290"/>
      <c r="BD45" s="302">
        <v>0</v>
      </c>
      <c r="BE45" s="290"/>
      <c r="BF45" s="302">
        <v>0</v>
      </c>
      <c r="BG45" s="290"/>
      <c r="BH45" s="302">
        <v>0</v>
      </c>
      <c r="BI45" s="291"/>
      <c r="BJ45" s="292">
        <f t="shared" ref="BJ45:BJ53" si="1">D45+F45+H45+J45+X45+N45+P45+R45+T45+V45+AA45+AC45+AG45+AI45+AK45+AM45+AO45+AQ45+AS45+AV45+AX45+AZ45+BB45+BD45+BH45+BF45+AE45</f>
        <v>162211</v>
      </c>
      <c r="BK45" s="298"/>
      <c r="BL45" s="299"/>
      <c r="BM45" s="299"/>
      <c r="BN45" s="300"/>
    </row>
    <row r="46" spans="1:66" s="301" customFormat="1" ht="18" x14ac:dyDescent="0.25">
      <c r="A46" s="268" t="s">
        <v>692</v>
      </c>
      <c r="B46" s="317" t="s">
        <v>693</v>
      </c>
      <c r="C46" s="298"/>
      <c r="D46" s="302">
        <f>SUM('MCS Budget - Detailed'!N613:N619)+'MCS Budget - Detailed'!N468+'MCS Budget - Detailed'!N469+'MCS Budget - Detailed'!N470+'MCS Budget - Detailed'!N627+'MCS Budget - Detailed'!N628+'MCS Budget - Detailed'!N629+'MCS Budget - Detailed'!N474+'MCS Budget - Detailed'!N475+'MCS Budget - Detailed'!N476+'MCS Budget - Detailed'!N477+'MCS Budget - Detailed'!N478+'MCS Budget - Detailed'!N620+'MCS Budget - Detailed'!N630</f>
        <v>36764</v>
      </c>
      <c r="E46" s="290"/>
      <c r="F46" s="302">
        <f>SUM('CCS Budget - Detailed'!H171+'CCS Budget - Detailed'!H172+'CCS Budget - Detailed'!H170+'CCS Budget - Detailed'!H173+'CCS Budget - Detailed'!H184+'CCS Budget - Detailed'!H185+'CCS Budget - Detailed'!H186+'CCS Budget - Detailed'!H212+'CCS Budget - Detailed'!H213+'CCS Budget - Detailed'!H214+'CCS Budget - Detailed'!H215+'CCS Budget - Detailed'!H169)</f>
        <v>21334</v>
      </c>
      <c r="G46" s="290"/>
      <c r="H46" s="302">
        <v>0</v>
      </c>
      <c r="I46" s="290"/>
      <c r="J46" s="302">
        <f>'MCS Budget - Detailed'!N893+'MCS Budget - Detailed'!N894+'MCS Budget - Detailed'!N895</f>
        <v>1884</v>
      </c>
      <c r="K46" s="290"/>
      <c r="L46" s="289"/>
      <c r="M46" s="290"/>
      <c r="N46" s="302">
        <v>0</v>
      </c>
      <c r="O46" s="290"/>
      <c r="P46" s="302">
        <v>0</v>
      </c>
      <c r="Q46" s="290"/>
      <c r="R46" s="302">
        <v>0</v>
      </c>
      <c r="S46" s="290"/>
      <c r="T46" s="302">
        <v>0</v>
      </c>
      <c r="U46" s="290"/>
      <c r="V46" s="302">
        <v>0</v>
      </c>
      <c r="W46" s="290"/>
      <c r="X46" s="302">
        <v>0</v>
      </c>
      <c r="Y46" s="290"/>
      <c r="Z46" s="290"/>
      <c r="AA46" s="302">
        <v>0</v>
      </c>
      <c r="AB46" s="290"/>
      <c r="AC46" s="302">
        <v>0</v>
      </c>
      <c r="AD46" s="290"/>
      <c r="AE46" s="302">
        <v>0</v>
      </c>
      <c r="AF46" s="290"/>
      <c r="AG46" s="302">
        <v>0</v>
      </c>
      <c r="AH46" s="290"/>
      <c r="AI46" s="302">
        <v>0</v>
      </c>
      <c r="AJ46" s="290"/>
      <c r="AK46" s="302">
        <v>0</v>
      </c>
      <c r="AL46" s="290"/>
      <c r="AM46" s="302">
        <v>0</v>
      </c>
      <c r="AN46" s="290"/>
      <c r="AO46" s="302">
        <v>0</v>
      </c>
      <c r="AP46" s="290"/>
      <c r="AQ46" s="302">
        <v>0</v>
      </c>
      <c r="AR46" s="290"/>
      <c r="AS46" s="302">
        <v>0</v>
      </c>
      <c r="AT46" s="290"/>
      <c r="AU46" s="290"/>
      <c r="AV46" s="302">
        <v>0</v>
      </c>
      <c r="AW46" s="290"/>
      <c r="AX46" s="302">
        <v>0</v>
      </c>
      <c r="AY46" s="290"/>
      <c r="AZ46" s="302">
        <v>0</v>
      </c>
      <c r="BA46" s="290"/>
      <c r="BB46" s="302">
        <v>0</v>
      </c>
      <c r="BC46" s="290"/>
      <c r="BD46" s="302">
        <v>0</v>
      </c>
      <c r="BE46" s="290"/>
      <c r="BF46" s="302">
        <v>0</v>
      </c>
      <c r="BG46" s="290"/>
      <c r="BH46" s="302">
        <v>0</v>
      </c>
      <c r="BI46" s="291"/>
      <c r="BJ46" s="292">
        <f t="shared" si="1"/>
        <v>59982</v>
      </c>
      <c r="BK46" s="298"/>
      <c r="BL46" s="299"/>
      <c r="BM46" s="299"/>
      <c r="BN46" s="300"/>
    </row>
    <row r="47" spans="1:66" s="301" customFormat="1" ht="18" x14ac:dyDescent="0.25">
      <c r="A47" s="268" t="s">
        <v>694</v>
      </c>
      <c r="B47" s="317" t="s">
        <v>482</v>
      </c>
      <c r="C47" s="298"/>
      <c r="D47" s="302">
        <f>'MCS Budget - Detailed'!N631+'MCS Budget - Detailed'!N632+'MCS Budget - Detailed'!N479+'MCS Budget - Detailed'!N633+'MCS Budget - Detailed'!N480</f>
        <v>62300</v>
      </c>
      <c r="E47" s="290"/>
      <c r="F47" s="302">
        <f>SUM('CCS Budget - Detailed'!H174+'CCS Budget - Detailed'!H175)</f>
        <v>7595</v>
      </c>
      <c r="G47" s="290"/>
      <c r="H47" s="302">
        <v>0</v>
      </c>
      <c r="I47" s="290"/>
      <c r="J47" s="302">
        <f>'MCS Budget - Detailed'!N896</f>
        <v>0</v>
      </c>
      <c r="K47" s="290"/>
      <c r="L47" s="289"/>
      <c r="M47" s="290"/>
      <c r="N47" s="302">
        <v>0</v>
      </c>
      <c r="O47" s="290"/>
      <c r="P47" s="302">
        <v>0</v>
      </c>
      <c r="Q47" s="290"/>
      <c r="R47" s="302">
        <v>0</v>
      </c>
      <c r="S47" s="290"/>
      <c r="T47" s="302">
        <v>0</v>
      </c>
      <c r="U47" s="290"/>
      <c r="V47" s="302">
        <v>0</v>
      </c>
      <c r="W47" s="290"/>
      <c r="X47" s="302">
        <v>0</v>
      </c>
      <c r="Y47" s="290"/>
      <c r="Z47" s="290"/>
      <c r="AA47" s="302">
        <v>0</v>
      </c>
      <c r="AB47" s="290"/>
      <c r="AC47" s="302">
        <v>0</v>
      </c>
      <c r="AD47" s="290"/>
      <c r="AE47" s="302">
        <v>0</v>
      </c>
      <c r="AF47" s="290"/>
      <c r="AG47" s="302">
        <v>0</v>
      </c>
      <c r="AH47" s="290"/>
      <c r="AI47" s="302">
        <v>0</v>
      </c>
      <c r="AJ47" s="290"/>
      <c r="AK47" s="302">
        <v>0</v>
      </c>
      <c r="AL47" s="290"/>
      <c r="AM47" s="302">
        <v>0</v>
      </c>
      <c r="AN47" s="290"/>
      <c r="AO47" s="302">
        <v>0</v>
      </c>
      <c r="AP47" s="290"/>
      <c r="AQ47" s="302">
        <v>0</v>
      </c>
      <c r="AR47" s="290"/>
      <c r="AS47" s="302">
        <v>0</v>
      </c>
      <c r="AT47" s="290"/>
      <c r="AU47" s="290"/>
      <c r="AV47" s="302">
        <v>0</v>
      </c>
      <c r="AW47" s="290"/>
      <c r="AX47" s="302">
        <v>0</v>
      </c>
      <c r="AY47" s="290"/>
      <c r="AZ47" s="302">
        <v>0</v>
      </c>
      <c r="BA47" s="290"/>
      <c r="BB47" s="302">
        <v>0</v>
      </c>
      <c r="BC47" s="290"/>
      <c r="BD47" s="302">
        <v>0</v>
      </c>
      <c r="BE47" s="290"/>
      <c r="BF47" s="302">
        <v>0</v>
      </c>
      <c r="BG47" s="290"/>
      <c r="BH47" s="302">
        <v>0</v>
      </c>
      <c r="BI47" s="291"/>
      <c r="BJ47" s="292">
        <f t="shared" si="1"/>
        <v>69895</v>
      </c>
      <c r="BK47" s="298"/>
      <c r="BL47" s="299"/>
      <c r="BM47" s="299"/>
      <c r="BN47" s="300"/>
    </row>
    <row r="48" spans="1:66" s="301" customFormat="1" ht="18" x14ac:dyDescent="0.25">
      <c r="A48" s="268" t="s">
        <v>749</v>
      </c>
      <c r="B48" s="317" t="s">
        <v>695</v>
      </c>
      <c r="C48" s="298"/>
      <c r="D48" s="302">
        <v>0</v>
      </c>
      <c r="E48" s="290"/>
      <c r="F48" s="302">
        <v>0</v>
      </c>
      <c r="G48" s="290"/>
      <c r="H48" s="302"/>
      <c r="I48" s="290"/>
      <c r="J48" s="302">
        <v>0</v>
      </c>
      <c r="K48" s="290"/>
      <c r="L48" s="289"/>
      <c r="M48" s="290"/>
      <c r="N48" s="302">
        <v>0</v>
      </c>
      <c r="O48" s="290"/>
      <c r="P48" s="302"/>
      <c r="Q48" s="290"/>
      <c r="R48" s="302">
        <v>0</v>
      </c>
      <c r="S48" s="290"/>
      <c r="T48" s="302"/>
      <c r="U48" s="290"/>
      <c r="V48" s="302"/>
      <c r="W48" s="290"/>
      <c r="X48" s="302"/>
      <c r="Y48" s="290"/>
      <c r="Z48" s="290"/>
      <c r="AA48" s="302"/>
      <c r="AB48" s="290"/>
      <c r="AC48" s="302">
        <v>0</v>
      </c>
      <c r="AD48" s="290"/>
      <c r="AE48" s="302"/>
      <c r="AF48" s="290"/>
      <c r="AG48" s="302">
        <v>0</v>
      </c>
      <c r="AH48" s="290"/>
      <c r="AI48" s="302"/>
      <c r="AJ48" s="290"/>
      <c r="AK48" s="302">
        <v>0</v>
      </c>
      <c r="AL48" s="290"/>
      <c r="AM48" s="302"/>
      <c r="AN48" s="290"/>
      <c r="AO48" s="302"/>
      <c r="AP48" s="290"/>
      <c r="AQ48" s="302"/>
      <c r="AR48" s="290"/>
      <c r="AS48" s="302"/>
      <c r="AT48" s="290"/>
      <c r="AU48" s="290"/>
      <c r="AV48" s="302"/>
      <c r="AW48" s="290"/>
      <c r="AX48" s="302"/>
      <c r="AY48" s="290"/>
      <c r="AZ48" s="302"/>
      <c r="BA48" s="290"/>
      <c r="BB48" s="302"/>
      <c r="BC48" s="290"/>
      <c r="BD48" s="302">
        <v>0</v>
      </c>
      <c r="BE48" s="290"/>
      <c r="BF48" s="302"/>
      <c r="BG48" s="290"/>
      <c r="BH48" s="302"/>
      <c r="BI48" s="291"/>
      <c r="BJ48" s="292">
        <f t="shared" si="1"/>
        <v>0</v>
      </c>
      <c r="BK48" s="298"/>
      <c r="BL48" s="299"/>
      <c r="BM48" s="299"/>
      <c r="BN48" s="300"/>
    </row>
    <row r="49" spans="1:66" s="301" customFormat="1" ht="18" x14ac:dyDescent="0.25">
      <c r="A49" s="268" t="s">
        <v>750</v>
      </c>
      <c r="B49" s="317" t="s">
        <v>696</v>
      </c>
      <c r="C49" s="298"/>
      <c r="D49" s="302">
        <f>'MCS Budget - Detailed'!N621+'MCS Budget - Detailed'!N634+'MCS Budget - Detailed'!N481+'MCS Budget - Detailed'!N482</f>
        <v>11700</v>
      </c>
      <c r="E49" s="290"/>
      <c r="F49" s="302">
        <v>0</v>
      </c>
      <c r="G49" s="290"/>
      <c r="H49" s="302"/>
      <c r="I49" s="290"/>
      <c r="J49" s="302">
        <v>0</v>
      </c>
      <c r="K49" s="290"/>
      <c r="L49" s="289"/>
      <c r="M49" s="290"/>
      <c r="N49" s="302">
        <v>0</v>
      </c>
      <c r="O49" s="290"/>
      <c r="P49" s="302"/>
      <c r="Q49" s="290"/>
      <c r="R49" s="302">
        <v>0</v>
      </c>
      <c r="S49" s="290"/>
      <c r="T49" s="302"/>
      <c r="U49" s="290"/>
      <c r="V49" s="302"/>
      <c r="W49" s="290"/>
      <c r="X49" s="302"/>
      <c r="Y49" s="290"/>
      <c r="Z49" s="290"/>
      <c r="AA49" s="302"/>
      <c r="AB49" s="290"/>
      <c r="AC49" s="302">
        <v>0</v>
      </c>
      <c r="AD49" s="290"/>
      <c r="AE49" s="302"/>
      <c r="AF49" s="290"/>
      <c r="AG49" s="302">
        <v>0</v>
      </c>
      <c r="AH49" s="290"/>
      <c r="AI49" s="302"/>
      <c r="AJ49" s="290"/>
      <c r="AK49" s="302">
        <v>0</v>
      </c>
      <c r="AL49" s="290"/>
      <c r="AM49" s="302"/>
      <c r="AN49" s="290"/>
      <c r="AO49" s="302"/>
      <c r="AP49" s="290"/>
      <c r="AQ49" s="302"/>
      <c r="AR49" s="290"/>
      <c r="AS49" s="302"/>
      <c r="AT49" s="290"/>
      <c r="AU49" s="290"/>
      <c r="AV49" s="302"/>
      <c r="AW49" s="290"/>
      <c r="AX49" s="302"/>
      <c r="AY49" s="290"/>
      <c r="AZ49" s="302"/>
      <c r="BA49" s="290"/>
      <c r="BB49" s="302"/>
      <c r="BC49" s="290"/>
      <c r="BD49" s="302">
        <v>0</v>
      </c>
      <c r="BE49" s="290"/>
      <c r="BF49" s="302"/>
      <c r="BG49" s="290"/>
      <c r="BH49" s="302"/>
      <c r="BI49" s="291"/>
      <c r="BJ49" s="292">
        <f t="shared" si="1"/>
        <v>11700</v>
      </c>
      <c r="BK49" s="298"/>
      <c r="BL49" s="299"/>
      <c r="BM49" s="299"/>
      <c r="BN49" s="300"/>
    </row>
    <row r="50" spans="1:66" s="301" customFormat="1" ht="18" x14ac:dyDescent="0.25">
      <c r="A50" s="268" t="s">
        <v>697</v>
      </c>
      <c r="B50" s="317" t="s">
        <v>624</v>
      </c>
      <c r="C50" s="298"/>
      <c r="D50" s="302">
        <f>'MCS Budget - Detailed'!N584+'MCS Budget - Detailed'!N622+'MCS Budget - Detailed'!N623+'MCS Budget - Detailed'!N635+'MCS Budget - Detailed'!N624+'MCS Budget - Detailed'!N471+'MCS Budget - Detailed'!N485+'MCS Budget - Detailed'!N483+'MCS Budget - Detailed'!N484</f>
        <v>30374</v>
      </c>
      <c r="E50" s="290"/>
      <c r="F50" s="302">
        <f>SUM('CCS Budget - Detailed'!H187+'CCS Budget - Detailed'!H220+'CCS Budget - Detailed'!H223)</f>
        <v>4741</v>
      </c>
      <c r="G50" s="290"/>
      <c r="H50" s="302">
        <v>0</v>
      </c>
      <c r="I50" s="290"/>
      <c r="J50" s="302">
        <v>0</v>
      </c>
      <c r="K50" s="290"/>
      <c r="L50" s="289"/>
      <c r="M50" s="290"/>
      <c r="N50" s="302">
        <v>0</v>
      </c>
      <c r="O50" s="290"/>
      <c r="P50" s="302">
        <v>0</v>
      </c>
      <c r="Q50" s="290"/>
      <c r="R50" s="302">
        <v>0</v>
      </c>
      <c r="S50" s="290"/>
      <c r="T50" s="302">
        <v>0</v>
      </c>
      <c r="U50" s="290"/>
      <c r="V50" s="302">
        <v>0</v>
      </c>
      <c r="W50" s="290"/>
      <c r="X50" s="302">
        <v>0</v>
      </c>
      <c r="Y50" s="290"/>
      <c r="Z50" s="290"/>
      <c r="AA50" s="302">
        <v>0</v>
      </c>
      <c r="AB50" s="290"/>
      <c r="AC50" s="302">
        <v>0</v>
      </c>
      <c r="AD50" s="290"/>
      <c r="AE50" s="302">
        <v>0</v>
      </c>
      <c r="AF50" s="290"/>
      <c r="AG50" s="302">
        <v>0</v>
      </c>
      <c r="AH50" s="290"/>
      <c r="AI50" s="302">
        <v>0</v>
      </c>
      <c r="AJ50" s="290"/>
      <c r="AK50" s="302">
        <v>0</v>
      </c>
      <c r="AL50" s="290"/>
      <c r="AM50" s="302">
        <v>0</v>
      </c>
      <c r="AN50" s="290"/>
      <c r="AO50" s="302">
        <v>0</v>
      </c>
      <c r="AP50" s="290"/>
      <c r="AQ50" s="302">
        <v>0</v>
      </c>
      <c r="AR50" s="290"/>
      <c r="AS50" s="302">
        <v>0</v>
      </c>
      <c r="AT50" s="290"/>
      <c r="AU50" s="290"/>
      <c r="AV50" s="302">
        <v>0</v>
      </c>
      <c r="AW50" s="290"/>
      <c r="AX50" s="302">
        <v>0</v>
      </c>
      <c r="AY50" s="290"/>
      <c r="AZ50" s="302">
        <v>0</v>
      </c>
      <c r="BA50" s="290"/>
      <c r="BB50" s="302">
        <v>0</v>
      </c>
      <c r="BC50" s="290"/>
      <c r="BD50" s="302">
        <v>0</v>
      </c>
      <c r="BE50" s="290"/>
      <c r="BF50" s="302">
        <v>0</v>
      </c>
      <c r="BG50" s="290"/>
      <c r="BH50" s="302">
        <v>0</v>
      </c>
      <c r="BI50" s="291"/>
      <c r="BJ50" s="292">
        <f t="shared" si="1"/>
        <v>35115</v>
      </c>
      <c r="BK50" s="298"/>
      <c r="BL50" s="299"/>
      <c r="BM50" s="299"/>
      <c r="BN50" s="300"/>
    </row>
    <row r="51" spans="1:66" s="301" customFormat="1" ht="18" x14ac:dyDescent="0.25">
      <c r="A51" s="268" t="s">
        <v>698</v>
      </c>
      <c r="B51" s="317" t="s">
        <v>492</v>
      </c>
      <c r="C51" s="298"/>
      <c r="D51" s="302">
        <v>0</v>
      </c>
      <c r="E51" s="290"/>
      <c r="F51" s="302">
        <v>0</v>
      </c>
      <c r="G51" s="290"/>
      <c r="H51" s="302">
        <v>0</v>
      </c>
      <c r="I51" s="290"/>
      <c r="J51" s="302">
        <v>0</v>
      </c>
      <c r="K51" s="290"/>
      <c r="L51" s="289"/>
      <c r="M51" s="290"/>
      <c r="N51" s="302">
        <v>0</v>
      </c>
      <c r="O51" s="290"/>
      <c r="P51" s="302">
        <v>0</v>
      </c>
      <c r="Q51" s="290"/>
      <c r="R51" s="302">
        <v>0</v>
      </c>
      <c r="S51" s="290"/>
      <c r="T51" s="302">
        <v>0</v>
      </c>
      <c r="U51" s="290"/>
      <c r="V51" s="302">
        <v>0</v>
      </c>
      <c r="W51" s="290"/>
      <c r="X51" s="302">
        <v>0</v>
      </c>
      <c r="Y51" s="290"/>
      <c r="Z51" s="290"/>
      <c r="AA51" s="302">
        <v>0</v>
      </c>
      <c r="AB51" s="290"/>
      <c r="AC51" s="302">
        <v>0</v>
      </c>
      <c r="AD51" s="290"/>
      <c r="AE51" s="302">
        <v>0</v>
      </c>
      <c r="AF51" s="290"/>
      <c r="AG51" s="302">
        <v>0</v>
      </c>
      <c r="AH51" s="290"/>
      <c r="AI51" s="302">
        <v>0</v>
      </c>
      <c r="AJ51" s="290"/>
      <c r="AK51" s="302">
        <v>0</v>
      </c>
      <c r="AL51" s="290"/>
      <c r="AM51" s="302">
        <v>0</v>
      </c>
      <c r="AN51" s="290"/>
      <c r="AO51" s="302">
        <v>0</v>
      </c>
      <c r="AP51" s="290"/>
      <c r="AQ51" s="302">
        <v>0</v>
      </c>
      <c r="AR51" s="290"/>
      <c r="AS51" s="302">
        <v>0</v>
      </c>
      <c r="AT51" s="290"/>
      <c r="AU51" s="290"/>
      <c r="AV51" s="302">
        <v>0</v>
      </c>
      <c r="AW51" s="290"/>
      <c r="AX51" s="302">
        <v>0</v>
      </c>
      <c r="AY51" s="290"/>
      <c r="AZ51" s="302">
        <v>0</v>
      </c>
      <c r="BA51" s="290"/>
      <c r="BB51" s="302">
        <v>0</v>
      </c>
      <c r="BC51" s="290"/>
      <c r="BD51" s="302">
        <v>0</v>
      </c>
      <c r="BE51" s="290"/>
      <c r="BF51" s="302">
        <v>0</v>
      </c>
      <c r="BG51" s="290"/>
      <c r="BH51" s="302">
        <v>0</v>
      </c>
      <c r="BI51" s="291"/>
      <c r="BJ51" s="292">
        <f t="shared" si="1"/>
        <v>0</v>
      </c>
      <c r="BK51" s="298"/>
      <c r="BL51" s="299"/>
      <c r="BM51" s="299"/>
      <c r="BN51" s="300"/>
    </row>
    <row r="52" spans="1:66" s="301" customFormat="1" ht="18" x14ac:dyDescent="0.25">
      <c r="A52" s="268" t="s">
        <v>699</v>
      </c>
      <c r="B52" s="317" t="s">
        <v>700</v>
      </c>
      <c r="C52" s="298"/>
      <c r="D52" s="302">
        <v>0</v>
      </c>
      <c r="E52" s="290"/>
      <c r="F52" s="302">
        <v>0</v>
      </c>
      <c r="G52" s="290"/>
      <c r="H52" s="302">
        <v>0</v>
      </c>
      <c r="I52" s="290"/>
      <c r="J52" s="302">
        <v>0</v>
      </c>
      <c r="K52" s="290"/>
      <c r="L52" s="289"/>
      <c r="M52" s="290"/>
      <c r="N52" s="302">
        <v>0</v>
      </c>
      <c r="O52" s="290"/>
      <c r="P52" s="302">
        <v>0</v>
      </c>
      <c r="Q52" s="290"/>
      <c r="R52" s="302">
        <v>0</v>
      </c>
      <c r="S52" s="290"/>
      <c r="T52" s="302">
        <v>0</v>
      </c>
      <c r="U52" s="290"/>
      <c r="V52" s="302">
        <v>0</v>
      </c>
      <c r="W52" s="290"/>
      <c r="X52" s="302">
        <v>0</v>
      </c>
      <c r="Y52" s="290"/>
      <c r="Z52" s="290"/>
      <c r="AA52" s="302">
        <v>0</v>
      </c>
      <c r="AB52" s="290"/>
      <c r="AC52" s="302">
        <v>0</v>
      </c>
      <c r="AD52" s="290"/>
      <c r="AE52" s="302">
        <v>0</v>
      </c>
      <c r="AF52" s="290"/>
      <c r="AG52" s="302">
        <v>0</v>
      </c>
      <c r="AH52" s="290"/>
      <c r="AI52" s="302">
        <v>0</v>
      </c>
      <c r="AJ52" s="290"/>
      <c r="AK52" s="302">
        <v>0</v>
      </c>
      <c r="AL52" s="290"/>
      <c r="AM52" s="302">
        <v>0</v>
      </c>
      <c r="AN52" s="290"/>
      <c r="AO52" s="302">
        <v>0</v>
      </c>
      <c r="AP52" s="290"/>
      <c r="AQ52" s="302">
        <v>0</v>
      </c>
      <c r="AR52" s="290"/>
      <c r="AS52" s="302">
        <v>0</v>
      </c>
      <c r="AT52" s="290"/>
      <c r="AU52" s="290"/>
      <c r="AV52" s="302">
        <v>0</v>
      </c>
      <c r="AW52" s="290"/>
      <c r="AX52" s="302">
        <v>0</v>
      </c>
      <c r="AY52" s="290"/>
      <c r="AZ52" s="302">
        <v>0</v>
      </c>
      <c r="BA52" s="290"/>
      <c r="BB52" s="302">
        <v>0</v>
      </c>
      <c r="BC52" s="290"/>
      <c r="BD52" s="302">
        <v>0</v>
      </c>
      <c r="BE52" s="290"/>
      <c r="BF52" s="302">
        <v>0</v>
      </c>
      <c r="BG52" s="290"/>
      <c r="BH52" s="302">
        <v>0</v>
      </c>
      <c r="BI52" s="291"/>
      <c r="BJ52" s="292">
        <f t="shared" si="1"/>
        <v>0</v>
      </c>
      <c r="BK52" s="298"/>
      <c r="BL52" s="299"/>
      <c r="BM52" s="299"/>
      <c r="BN52" s="300"/>
    </row>
    <row r="53" spans="1:66" s="301" customFormat="1" ht="18.75" thickBot="1" x14ac:dyDescent="0.3">
      <c r="A53" s="268" t="s">
        <v>751</v>
      </c>
      <c r="B53" s="317" t="s">
        <v>506</v>
      </c>
      <c r="C53" s="298"/>
      <c r="D53" s="302">
        <v>0</v>
      </c>
      <c r="E53" s="290"/>
      <c r="F53" s="302">
        <v>0</v>
      </c>
      <c r="G53" s="290"/>
      <c r="H53" s="302"/>
      <c r="I53" s="290"/>
      <c r="J53" s="302">
        <v>0</v>
      </c>
      <c r="K53" s="290"/>
      <c r="L53" s="289"/>
      <c r="M53" s="290"/>
      <c r="N53" s="302">
        <v>0</v>
      </c>
      <c r="O53" s="290"/>
      <c r="P53" s="302"/>
      <c r="Q53" s="290"/>
      <c r="R53" s="302">
        <v>0</v>
      </c>
      <c r="S53" s="290"/>
      <c r="T53" s="302"/>
      <c r="U53" s="290"/>
      <c r="V53" s="302"/>
      <c r="W53" s="290"/>
      <c r="X53" s="302"/>
      <c r="Y53" s="290"/>
      <c r="Z53" s="290"/>
      <c r="AA53" s="302"/>
      <c r="AB53" s="290"/>
      <c r="AC53" s="302">
        <v>0</v>
      </c>
      <c r="AD53" s="290"/>
      <c r="AE53" s="302"/>
      <c r="AF53" s="290"/>
      <c r="AG53" s="302">
        <v>0</v>
      </c>
      <c r="AH53" s="290"/>
      <c r="AI53" s="302"/>
      <c r="AJ53" s="290"/>
      <c r="AK53" s="302">
        <v>0</v>
      </c>
      <c r="AL53" s="290"/>
      <c r="AM53" s="302"/>
      <c r="AN53" s="290"/>
      <c r="AO53" s="302"/>
      <c r="AP53" s="290"/>
      <c r="AQ53" s="302"/>
      <c r="AR53" s="290"/>
      <c r="AS53" s="302"/>
      <c r="AT53" s="290"/>
      <c r="AU53" s="290"/>
      <c r="AV53" s="302"/>
      <c r="AW53" s="290"/>
      <c r="AX53" s="302"/>
      <c r="AY53" s="290"/>
      <c r="AZ53" s="302"/>
      <c r="BA53" s="290"/>
      <c r="BB53" s="302"/>
      <c r="BC53" s="290"/>
      <c r="BD53" s="302">
        <v>0</v>
      </c>
      <c r="BE53" s="290"/>
      <c r="BF53" s="302"/>
      <c r="BG53" s="290"/>
      <c r="BH53" s="302"/>
      <c r="BI53" s="291"/>
      <c r="BJ53" s="292">
        <f t="shared" si="1"/>
        <v>0</v>
      </c>
      <c r="BK53" s="298"/>
      <c r="BL53" s="299"/>
      <c r="BM53" s="299"/>
      <c r="BN53" s="300"/>
    </row>
    <row r="54" spans="1:66" s="301" customFormat="1" ht="18.75" thickBot="1" x14ac:dyDescent="0.3">
      <c r="A54" s="303" t="s">
        <v>704</v>
      </c>
      <c r="B54" s="312"/>
      <c r="C54" s="307"/>
      <c r="D54" s="306">
        <f>SUM(D45:D53)</f>
        <v>242901</v>
      </c>
      <c r="E54" s="307"/>
      <c r="F54" s="306">
        <f>SUM(F45:F53)</f>
        <v>85618</v>
      </c>
      <c r="G54" s="307"/>
      <c r="H54" s="306">
        <f>SUM(H45:H52)</f>
        <v>0</v>
      </c>
      <c r="I54" s="307"/>
      <c r="J54" s="306">
        <f>SUM(J45:J53)</f>
        <v>10384</v>
      </c>
      <c r="K54" s="307"/>
      <c r="L54" s="306">
        <f>SUM(L45:L52)</f>
        <v>0</v>
      </c>
      <c r="M54" s="307"/>
      <c r="N54" s="306">
        <f>SUM(N45:N53)</f>
        <v>0</v>
      </c>
      <c r="O54" s="307"/>
      <c r="P54" s="306">
        <f>SUM(P45:P52)</f>
        <v>0</v>
      </c>
      <c r="Q54" s="307"/>
      <c r="R54" s="306">
        <f>SUM(R45:R53)</f>
        <v>0</v>
      </c>
      <c r="S54" s="307"/>
      <c r="T54" s="306">
        <f>SUM(T45:T52)</f>
        <v>0</v>
      </c>
      <c r="U54" s="307"/>
      <c r="V54" s="306">
        <f>SUM(V45:V52)</f>
        <v>0</v>
      </c>
      <c r="W54" s="307"/>
      <c r="X54" s="306">
        <f>SUM(X45:X52)</f>
        <v>0</v>
      </c>
      <c r="Y54" s="307"/>
      <c r="Z54" s="307"/>
      <c r="AA54" s="306">
        <f>SUM(AA45:AA52)</f>
        <v>0</v>
      </c>
      <c r="AB54" s="307"/>
      <c r="AC54" s="306">
        <f>SUM(AC45:AC53)</f>
        <v>0</v>
      </c>
      <c r="AD54" s="307"/>
      <c r="AE54" s="306">
        <f>SUM(AE45:AE52)</f>
        <v>0</v>
      </c>
      <c r="AF54" s="307"/>
      <c r="AG54" s="306">
        <f>SUM(AG45:AG53)</f>
        <v>0</v>
      </c>
      <c r="AH54" s="307"/>
      <c r="AI54" s="306">
        <f>SUM(AI45:AI52)</f>
        <v>0</v>
      </c>
      <c r="AJ54" s="307"/>
      <c r="AK54" s="306">
        <f>SUM(AK45:AK53)</f>
        <v>0</v>
      </c>
      <c r="AL54" s="307"/>
      <c r="AM54" s="306">
        <f>SUM(AM45:AM52)</f>
        <v>0</v>
      </c>
      <c r="AN54" s="307"/>
      <c r="AO54" s="306">
        <f>SUM(AO45:AO52)</f>
        <v>0</v>
      </c>
      <c r="AP54" s="307"/>
      <c r="AQ54" s="306">
        <f>SUM(AQ45:AQ52)</f>
        <v>0</v>
      </c>
      <c r="AR54" s="307"/>
      <c r="AS54" s="306">
        <f>SUM(AS45:AS52)</f>
        <v>0</v>
      </c>
      <c r="AT54" s="307"/>
      <c r="AU54" s="307"/>
      <c r="AV54" s="306">
        <f>SUM(AV45:AV52)</f>
        <v>0</v>
      </c>
      <c r="AW54" s="307"/>
      <c r="AX54" s="306">
        <f>SUM(AX45:AX52)</f>
        <v>0</v>
      </c>
      <c r="AY54" s="307"/>
      <c r="AZ54" s="306">
        <f>SUM(AZ45:AZ52)</f>
        <v>0</v>
      </c>
      <c r="BA54" s="307"/>
      <c r="BB54" s="306">
        <f>SUM(BB45:BB52)</f>
        <v>0</v>
      </c>
      <c r="BC54" s="307"/>
      <c r="BD54" s="306">
        <f>SUM(BD45:BD53)</f>
        <v>0</v>
      </c>
      <c r="BE54" s="307"/>
      <c r="BF54" s="306">
        <f>SUM(BF45:BF52)</f>
        <v>0</v>
      </c>
      <c r="BG54" s="307"/>
      <c r="BH54" s="306">
        <f>SUM(BH45:BH52)</f>
        <v>0</v>
      </c>
      <c r="BI54" s="307"/>
      <c r="BJ54" s="306">
        <f>D54+F54+H54+J54+X54+N54+P54+R54+T54+V54+AA54+AC54+AG54+AI54+AK54+AM54+AO54+AQ54+AS54+AV54+AX54+AZ54+BB54+BD54+BH54+BF54+AE54</f>
        <v>338903</v>
      </c>
      <c r="BK54" s="307"/>
      <c r="BL54" s="308"/>
      <c r="BM54" s="308"/>
      <c r="BN54" s="300"/>
    </row>
    <row r="55" spans="1:66" s="301" customFormat="1" ht="18" x14ac:dyDescent="0.25">
      <c r="A55" s="268"/>
      <c r="B55" s="294"/>
      <c r="C55" s="298"/>
      <c r="D55" s="292"/>
      <c r="E55" s="291"/>
      <c r="F55" s="292"/>
      <c r="G55" s="291"/>
      <c r="H55" s="292"/>
      <c r="I55" s="291"/>
      <c r="J55" s="292"/>
      <c r="K55" s="291"/>
      <c r="L55" s="309"/>
      <c r="M55" s="291"/>
      <c r="N55" s="292"/>
      <c r="O55" s="291"/>
      <c r="P55" s="292"/>
      <c r="Q55" s="291"/>
      <c r="R55" s="292"/>
      <c r="S55" s="291"/>
      <c r="T55" s="292"/>
      <c r="U55" s="291"/>
      <c r="V55" s="292"/>
      <c r="W55" s="291"/>
      <c r="X55" s="292"/>
      <c r="Y55" s="291"/>
      <c r="Z55" s="291"/>
      <c r="AA55" s="292"/>
      <c r="AB55" s="291"/>
      <c r="AC55" s="292"/>
      <c r="AD55" s="291"/>
      <c r="AE55" s="292"/>
      <c r="AF55" s="291"/>
      <c r="AG55" s="292"/>
      <c r="AH55" s="291"/>
      <c r="AI55" s="292"/>
      <c r="AJ55" s="291"/>
      <c r="AK55" s="292"/>
      <c r="AL55" s="291"/>
      <c r="AM55" s="292"/>
      <c r="AN55" s="291"/>
      <c r="AO55" s="292"/>
      <c r="AP55" s="291"/>
      <c r="AQ55" s="292"/>
      <c r="AR55" s="291"/>
      <c r="AS55" s="292"/>
      <c r="AT55" s="291"/>
      <c r="AU55" s="291"/>
      <c r="AV55" s="292"/>
      <c r="AW55" s="291"/>
      <c r="AX55" s="292"/>
      <c r="AY55" s="291"/>
      <c r="AZ55" s="292"/>
      <c r="BA55" s="291"/>
      <c r="BB55" s="292"/>
      <c r="BC55" s="291"/>
      <c r="BD55" s="292"/>
      <c r="BE55" s="291"/>
      <c r="BF55" s="292"/>
      <c r="BG55" s="291"/>
      <c r="BH55" s="292"/>
      <c r="BI55" s="291"/>
      <c r="BJ55" s="300"/>
      <c r="BK55" s="298"/>
      <c r="BL55" s="299"/>
      <c r="BM55" s="299"/>
      <c r="BN55" s="300"/>
    </row>
    <row r="56" spans="1:66" s="301" customFormat="1" ht="18" x14ac:dyDescent="0.25">
      <c r="A56" s="268" t="s">
        <v>705</v>
      </c>
      <c r="B56" s="294"/>
      <c r="C56" s="298"/>
      <c r="D56" s="292"/>
      <c r="E56" s="291"/>
      <c r="F56" s="292"/>
      <c r="G56" s="291"/>
      <c r="H56" s="292"/>
      <c r="I56" s="291"/>
      <c r="J56" s="292"/>
      <c r="K56" s="291"/>
      <c r="L56" s="309"/>
      <c r="M56" s="291"/>
      <c r="N56" s="292"/>
      <c r="O56" s="291"/>
      <c r="P56" s="292"/>
      <c r="Q56" s="291"/>
      <c r="R56" s="292"/>
      <c r="S56" s="291"/>
      <c r="T56" s="292"/>
      <c r="U56" s="291"/>
      <c r="V56" s="292"/>
      <c r="W56" s="291"/>
      <c r="X56" s="292"/>
      <c r="Y56" s="291"/>
      <c r="Z56" s="291"/>
      <c r="AA56" s="292"/>
      <c r="AB56" s="291"/>
      <c r="AC56" s="292"/>
      <c r="AD56" s="291"/>
      <c r="AE56" s="292"/>
      <c r="AF56" s="291"/>
      <c r="AG56" s="292"/>
      <c r="AH56" s="291"/>
      <c r="AI56" s="292"/>
      <c r="AJ56" s="291"/>
      <c r="AK56" s="292"/>
      <c r="AL56" s="291"/>
      <c r="AM56" s="292"/>
      <c r="AN56" s="291"/>
      <c r="AO56" s="292"/>
      <c r="AP56" s="291"/>
      <c r="AQ56" s="292"/>
      <c r="AR56" s="291"/>
      <c r="AS56" s="292"/>
      <c r="AT56" s="291"/>
      <c r="AU56" s="291"/>
      <c r="AV56" s="292"/>
      <c r="AW56" s="291"/>
      <c r="AX56" s="292"/>
      <c r="AY56" s="291"/>
      <c r="AZ56" s="292"/>
      <c r="BA56" s="291"/>
      <c r="BB56" s="292"/>
      <c r="BC56" s="291"/>
      <c r="BD56" s="292"/>
      <c r="BE56" s="291"/>
      <c r="BF56" s="292"/>
      <c r="BG56" s="291"/>
      <c r="BH56" s="292"/>
      <c r="BI56" s="291"/>
      <c r="BJ56" s="300"/>
      <c r="BK56" s="298"/>
      <c r="BL56" s="299"/>
      <c r="BM56" s="299"/>
      <c r="BN56" s="300"/>
    </row>
    <row r="57" spans="1:66" s="301" customFormat="1" ht="18" x14ac:dyDescent="0.25">
      <c r="A57" s="268" t="s">
        <v>690</v>
      </c>
      <c r="B57" s="317" t="s">
        <v>691</v>
      </c>
      <c r="C57" s="298"/>
      <c r="D57" s="302">
        <f>'MCS Budget - Detailed'!N495+'MCS Budget - Detailed'!N637+'MCS Budget - Detailed'!N487+'MCS Budget - Detailed'!N638</f>
        <v>28729</v>
      </c>
      <c r="E57" s="290"/>
      <c r="F57" s="302">
        <f>SUM('CCS Budget - Detailed'!H160)</f>
        <v>0</v>
      </c>
      <c r="G57" s="290"/>
      <c r="H57" s="302">
        <v>0</v>
      </c>
      <c r="I57" s="290"/>
      <c r="J57" s="302">
        <f>'MCS Budget - Detailed'!N900</f>
        <v>8138</v>
      </c>
      <c r="K57" s="290"/>
      <c r="L57" s="289"/>
      <c r="M57" s="290"/>
      <c r="N57" s="302">
        <v>0</v>
      </c>
      <c r="O57" s="290"/>
      <c r="P57" s="302">
        <v>0</v>
      </c>
      <c r="Q57" s="290"/>
      <c r="R57" s="302">
        <v>0</v>
      </c>
      <c r="S57" s="290"/>
      <c r="T57" s="302">
        <v>0</v>
      </c>
      <c r="U57" s="290"/>
      <c r="V57" s="302">
        <v>0</v>
      </c>
      <c r="W57" s="290"/>
      <c r="X57" s="302">
        <v>0</v>
      </c>
      <c r="Y57" s="290"/>
      <c r="Z57" s="290"/>
      <c r="AA57" s="302">
        <v>0</v>
      </c>
      <c r="AB57" s="290"/>
      <c r="AC57" s="302">
        <v>0</v>
      </c>
      <c r="AD57" s="290"/>
      <c r="AE57" s="302">
        <v>0</v>
      </c>
      <c r="AF57" s="290"/>
      <c r="AG57" s="302">
        <v>0</v>
      </c>
      <c r="AH57" s="290"/>
      <c r="AI57" s="302">
        <v>0</v>
      </c>
      <c r="AJ57" s="290"/>
      <c r="AK57" s="302">
        <v>0</v>
      </c>
      <c r="AL57" s="290"/>
      <c r="AM57" s="302">
        <v>0</v>
      </c>
      <c r="AN57" s="290"/>
      <c r="AO57" s="302">
        <v>0</v>
      </c>
      <c r="AP57" s="290"/>
      <c r="AQ57" s="302">
        <v>0</v>
      </c>
      <c r="AR57" s="290"/>
      <c r="AS57" s="302">
        <v>0</v>
      </c>
      <c r="AT57" s="290"/>
      <c r="AU57" s="290"/>
      <c r="AV57" s="302">
        <v>0</v>
      </c>
      <c r="AW57" s="290"/>
      <c r="AX57" s="302">
        <v>0</v>
      </c>
      <c r="AY57" s="290"/>
      <c r="AZ57" s="302">
        <v>0</v>
      </c>
      <c r="BA57" s="290"/>
      <c r="BB57" s="302">
        <v>0</v>
      </c>
      <c r="BC57" s="290"/>
      <c r="BD57" s="302">
        <v>0</v>
      </c>
      <c r="BE57" s="290"/>
      <c r="BF57" s="302">
        <v>0</v>
      </c>
      <c r="BG57" s="290"/>
      <c r="BH57" s="302">
        <v>0</v>
      </c>
      <c r="BI57" s="291"/>
      <c r="BJ57" s="292">
        <f t="shared" ref="BJ57:BJ65" si="2">D57+F57+H57+J57+X57+N57+P57+R57+T57+V57+AA57+AC57+AG57+AI57+AK57+AM57+AO57+AQ57+AS57+AV57+AX57+AZ57+BB57+BD57+BH57+BF57+AE57</f>
        <v>36867</v>
      </c>
      <c r="BK57" s="298"/>
      <c r="BL57" s="299"/>
      <c r="BM57" s="299"/>
      <c r="BN57" s="300"/>
    </row>
    <row r="58" spans="1:66" s="301" customFormat="1" ht="18" x14ac:dyDescent="0.25">
      <c r="A58" s="268" t="s">
        <v>692</v>
      </c>
      <c r="B58" s="317" t="s">
        <v>693</v>
      </c>
      <c r="C58" s="298"/>
      <c r="D58" s="302">
        <f>'MCS Budget - Detailed'!N496+'MCS Budget - Detailed'!N497+'MCS Budget - Detailed'!N498+'MCS Budget - Detailed'!N499+'MCS Budget - Detailed'!N639+'MCS Budget - Detailed'!N640+'MCS Budget - Detailed'!N641+'MCS Budget - Detailed'!N642+'MCS Budget - Detailed'!N643+'MCS Budget - Detailed'!N488+'MCS Budget - Detailed'!N489+'MCS Budget - Detailed'!N490+'MCS Budget - Detailed'!N501+'MCS Budget - Detailed'!N644</f>
        <v>13384</v>
      </c>
      <c r="E58" s="290"/>
      <c r="F58" s="302">
        <f>SUM('CCS Budget - Detailed'!H161+'CCS Budget - Detailed'!H162+'CCS Budget - Detailed'!H163)</f>
        <v>0</v>
      </c>
      <c r="G58" s="290"/>
      <c r="H58" s="302">
        <v>0</v>
      </c>
      <c r="I58" s="290"/>
      <c r="J58" s="302">
        <f>'MCS Budget - Detailed'!N902+'MCS Budget - Detailed'!N903+'MCS Budget - Detailed'!N904+'MCS Budget - Detailed'!N901+'MCS Budget - Detailed'!N905</f>
        <v>2966</v>
      </c>
      <c r="K58" s="290"/>
      <c r="L58" s="289"/>
      <c r="M58" s="290"/>
      <c r="N58" s="302">
        <v>0</v>
      </c>
      <c r="O58" s="290"/>
      <c r="P58" s="302">
        <v>0</v>
      </c>
      <c r="Q58" s="290"/>
      <c r="R58" s="302">
        <v>0</v>
      </c>
      <c r="S58" s="290"/>
      <c r="T58" s="302">
        <v>0</v>
      </c>
      <c r="U58" s="290"/>
      <c r="V58" s="302">
        <v>0</v>
      </c>
      <c r="W58" s="290"/>
      <c r="X58" s="302">
        <v>0</v>
      </c>
      <c r="Y58" s="290"/>
      <c r="Z58" s="290"/>
      <c r="AA58" s="302">
        <v>0</v>
      </c>
      <c r="AB58" s="290"/>
      <c r="AC58" s="302">
        <v>0</v>
      </c>
      <c r="AD58" s="290"/>
      <c r="AE58" s="302">
        <v>0</v>
      </c>
      <c r="AF58" s="290"/>
      <c r="AG58" s="302">
        <v>0</v>
      </c>
      <c r="AH58" s="290"/>
      <c r="AI58" s="302">
        <v>0</v>
      </c>
      <c r="AJ58" s="290"/>
      <c r="AK58" s="302">
        <v>0</v>
      </c>
      <c r="AL58" s="290"/>
      <c r="AM58" s="302">
        <v>0</v>
      </c>
      <c r="AN58" s="290"/>
      <c r="AO58" s="302">
        <v>0</v>
      </c>
      <c r="AP58" s="290"/>
      <c r="AQ58" s="302">
        <v>0</v>
      </c>
      <c r="AR58" s="290"/>
      <c r="AS58" s="302">
        <v>0</v>
      </c>
      <c r="AT58" s="290"/>
      <c r="AU58" s="290"/>
      <c r="AV58" s="302">
        <v>0</v>
      </c>
      <c r="AW58" s="290"/>
      <c r="AX58" s="302">
        <v>0</v>
      </c>
      <c r="AY58" s="290"/>
      <c r="AZ58" s="302">
        <v>0</v>
      </c>
      <c r="BA58" s="290"/>
      <c r="BB58" s="302">
        <v>0</v>
      </c>
      <c r="BC58" s="290"/>
      <c r="BD58" s="302">
        <v>0</v>
      </c>
      <c r="BE58" s="290"/>
      <c r="BF58" s="302">
        <v>0</v>
      </c>
      <c r="BG58" s="290"/>
      <c r="BH58" s="302">
        <v>0</v>
      </c>
      <c r="BI58" s="291"/>
      <c r="BJ58" s="292">
        <f t="shared" si="2"/>
        <v>16350</v>
      </c>
      <c r="BK58" s="298"/>
      <c r="BL58" s="299"/>
      <c r="BM58" s="299"/>
      <c r="BN58" s="300"/>
    </row>
    <row r="59" spans="1:66" s="301" customFormat="1" ht="18" x14ac:dyDescent="0.25">
      <c r="A59" s="268" t="s">
        <v>694</v>
      </c>
      <c r="B59" s="317" t="s">
        <v>482</v>
      </c>
      <c r="C59" s="298"/>
      <c r="D59" s="302">
        <f>'MCS Budget - Detailed'!N645</f>
        <v>3000</v>
      </c>
      <c r="E59" s="290"/>
      <c r="F59" s="302">
        <f>SUM('CCS Budget - Detailed'!H164)</f>
        <v>4878</v>
      </c>
      <c r="G59" s="290"/>
      <c r="H59" s="302">
        <v>0</v>
      </c>
      <c r="I59" s="290"/>
      <c r="J59" s="302">
        <v>0</v>
      </c>
      <c r="K59" s="290"/>
      <c r="L59" s="289"/>
      <c r="M59" s="290"/>
      <c r="N59" s="302">
        <v>0</v>
      </c>
      <c r="O59" s="290"/>
      <c r="P59" s="302">
        <v>0</v>
      </c>
      <c r="Q59" s="290"/>
      <c r="R59" s="302">
        <v>0</v>
      </c>
      <c r="S59" s="290"/>
      <c r="T59" s="302">
        <v>0</v>
      </c>
      <c r="U59" s="290"/>
      <c r="V59" s="302">
        <v>0</v>
      </c>
      <c r="W59" s="290"/>
      <c r="X59" s="302">
        <v>0</v>
      </c>
      <c r="Y59" s="290"/>
      <c r="Z59" s="290"/>
      <c r="AA59" s="302">
        <v>0</v>
      </c>
      <c r="AB59" s="290"/>
      <c r="AC59" s="302">
        <v>0</v>
      </c>
      <c r="AD59" s="290"/>
      <c r="AE59" s="302">
        <v>0</v>
      </c>
      <c r="AF59" s="290"/>
      <c r="AG59" s="302">
        <v>0</v>
      </c>
      <c r="AH59" s="290"/>
      <c r="AI59" s="302">
        <v>0</v>
      </c>
      <c r="AJ59" s="290"/>
      <c r="AK59" s="302">
        <v>0</v>
      </c>
      <c r="AL59" s="290"/>
      <c r="AM59" s="302">
        <v>0</v>
      </c>
      <c r="AN59" s="290"/>
      <c r="AO59" s="302">
        <v>0</v>
      </c>
      <c r="AP59" s="290"/>
      <c r="AQ59" s="302">
        <v>0</v>
      </c>
      <c r="AR59" s="290"/>
      <c r="AS59" s="302">
        <v>0</v>
      </c>
      <c r="AT59" s="290"/>
      <c r="AU59" s="290"/>
      <c r="AV59" s="302">
        <v>0</v>
      </c>
      <c r="AW59" s="290"/>
      <c r="AX59" s="302">
        <v>0</v>
      </c>
      <c r="AY59" s="290"/>
      <c r="AZ59" s="302">
        <v>0</v>
      </c>
      <c r="BA59" s="290"/>
      <c r="BB59" s="302">
        <v>0</v>
      </c>
      <c r="BC59" s="290"/>
      <c r="BD59" s="302">
        <v>0</v>
      </c>
      <c r="BE59" s="290"/>
      <c r="BF59" s="302">
        <v>0</v>
      </c>
      <c r="BG59" s="290"/>
      <c r="BH59" s="302">
        <v>0</v>
      </c>
      <c r="BI59" s="291"/>
      <c r="BJ59" s="292">
        <f t="shared" si="2"/>
        <v>7878</v>
      </c>
      <c r="BK59" s="298"/>
      <c r="BL59" s="299"/>
      <c r="BM59" s="299"/>
      <c r="BN59" s="300"/>
    </row>
    <row r="60" spans="1:66" s="301" customFormat="1" ht="18" x14ac:dyDescent="0.25">
      <c r="A60" s="268" t="s">
        <v>749</v>
      </c>
      <c r="B60" s="317" t="s">
        <v>695</v>
      </c>
      <c r="C60" s="298"/>
      <c r="D60" s="302">
        <v>0</v>
      </c>
      <c r="E60" s="290"/>
      <c r="F60" s="302">
        <v>0</v>
      </c>
      <c r="G60" s="290"/>
      <c r="H60" s="302"/>
      <c r="I60" s="290"/>
      <c r="J60" s="302">
        <v>0</v>
      </c>
      <c r="K60" s="290"/>
      <c r="L60" s="289"/>
      <c r="M60" s="290"/>
      <c r="N60" s="302">
        <v>0</v>
      </c>
      <c r="O60" s="290"/>
      <c r="P60" s="302"/>
      <c r="Q60" s="290"/>
      <c r="R60" s="302">
        <v>0</v>
      </c>
      <c r="S60" s="290"/>
      <c r="T60" s="302"/>
      <c r="U60" s="290"/>
      <c r="V60" s="302"/>
      <c r="W60" s="290"/>
      <c r="X60" s="302"/>
      <c r="Y60" s="290"/>
      <c r="Z60" s="290"/>
      <c r="AA60" s="302"/>
      <c r="AB60" s="290"/>
      <c r="AC60" s="302">
        <v>0</v>
      </c>
      <c r="AD60" s="290"/>
      <c r="AE60" s="302"/>
      <c r="AF60" s="290"/>
      <c r="AG60" s="302">
        <v>0</v>
      </c>
      <c r="AH60" s="290"/>
      <c r="AI60" s="302"/>
      <c r="AJ60" s="290"/>
      <c r="AK60" s="302">
        <v>0</v>
      </c>
      <c r="AL60" s="290"/>
      <c r="AM60" s="302"/>
      <c r="AN60" s="290"/>
      <c r="AO60" s="302"/>
      <c r="AP60" s="290"/>
      <c r="AQ60" s="302"/>
      <c r="AR60" s="290"/>
      <c r="AS60" s="302"/>
      <c r="AT60" s="290"/>
      <c r="AU60" s="290"/>
      <c r="AV60" s="302"/>
      <c r="AW60" s="290"/>
      <c r="AX60" s="302"/>
      <c r="AY60" s="290"/>
      <c r="AZ60" s="302"/>
      <c r="BA60" s="290"/>
      <c r="BB60" s="302"/>
      <c r="BC60" s="290"/>
      <c r="BD60" s="302">
        <v>0</v>
      </c>
      <c r="BE60" s="290"/>
      <c r="BF60" s="302"/>
      <c r="BG60" s="290"/>
      <c r="BH60" s="302"/>
      <c r="BI60" s="291"/>
      <c r="BJ60" s="292">
        <f t="shared" si="2"/>
        <v>0</v>
      </c>
      <c r="BK60" s="298"/>
      <c r="BL60" s="299"/>
      <c r="BM60" s="299"/>
      <c r="BN60" s="300"/>
    </row>
    <row r="61" spans="1:66" s="301" customFormat="1" ht="18" x14ac:dyDescent="0.25">
      <c r="A61" s="268" t="s">
        <v>750</v>
      </c>
      <c r="B61" s="317" t="s">
        <v>696</v>
      </c>
      <c r="C61" s="298"/>
      <c r="D61" s="302">
        <f>'MCS Budget - Detailed'!N491+'MCS Budget - Detailed'!N646+'MCS Budget - Detailed'!N492+'MCS Budget - Detailed'!N493</f>
        <v>17400</v>
      </c>
      <c r="E61" s="290"/>
      <c r="F61" s="302">
        <f>SUM('CCS Budget - Detailed'!H241)</f>
        <v>0</v>
      </c>
      <c r="G61" s="290"/>
      <c r="H61" s="302"/>
      <c r="I61" s="290"/>
      <c r="J61" s="302">
        <f>'MCS Budget - Detailed'!N898</f>
        <v>3000</v>
      </c>
      <c r="K61" s="290"/>
      <c r="L61" s="289"/>
      <c r="M61" s="290"/>
      <c r="N61" s="302">
        <v>0</v>
      </c>
      <c r="O61" s="290"/>
      <c r="P61" s="302"/>
      <c r="Q61" s="290"/>
      <c r="R61" s="302">
        <v>0</v>
      </c>
      <c r="S61" s="290"/>
      <c r="T61" s="302"/>
      <c r="U61" s="290"/>
      <c r="V61" s="302"/>
      <c r="W61" s="290"/>
      <c r="X61" s="302"/>
      <c r="Y61" s="290"/>
      <c r="Z61" s="290"/>
      <c r="AA61" s="302"/>
      <c r="AB61" s="290"/>
      <c r="AC61" s="302">
        <v>0</v>
      </c>
      <c r="AD61" s="290"/>
      <c r="AE61" s="302"/>
      <c r="AF61" s="290"/>
      <c r="AG61" s="302">
        <v>0</v>
      </c>
      <c r="AH61" s="290"/>
      <c r="AI61" s="302"/>
      <c r="AJ61" s="290"/>
      <c r="AK61" s="302">
        <v>0</v>
      </c>
      <c r="AL61" s="290"/>
      <c r="AM61" s="302"/>
      <c r="AN61" s="290"/>
      <c r="AO61" s="302"/>
      <c r="AP61" s="290"/>
      <c r="AQ61" s="302"/>
      <c r="AR61" s="290"/>
      <c r="AS61" s="302"/>
      <c r="AT61" s="290"/>
      <c r="AU61" s="290"/>
      <c r="AV61" s="302"/>
      <c r="AW61" s="290"/>
      <c r="AX61" s="302"/>
      <c r="AY61" s="290"/>
      <c r="AZ61" s="302"/>
      <c r="BA61" s="290"/>
      <c r="BB61" s="302"/>
      <c r="BC61" s="290"/>
      <c r="BD61" s="302">
        <v>0</v>
      </c>
      <c r="BE61" s="290"/>
      <c r="BF61" s="302"/>
      <c r="BG61" s="290"/>
      <c r="BH61" s="302"/>
      <c r="BI61" s="291"/>
      <c r="BJ61" s="292">
        <f t="shared" si="2"/>
        <v>20400</v>
      </c>
      <c r="BK61" s="298"/>
      <c r="BL61" s="299"/>
      <c r="BM61" s="299"/>
      <c r="BN61" s="300"/>
    </row>
    <row r="62" spans="1:66" s="301" customFormat="1" ht="18" x14ac:dyDescent="0.25">
      <c r="A62" s="268" t="s">
        <v>697</v>
      </c>
      <c r="B62" s="317" t="s">
        <v>624</v>
      </c>
      <c r="C62" s="298"/>
      <c r="D62" s="302">
        <f>'MCS Budget - Detailed'!N647+'MCS Budget - Detailed'!N648+'MCS Budget - Detailed'!N649+'MCS Budget - Detailed'!N650</f>
        <v>7858</v>
      </c>
      <c r="E62" s="290"/>
      <c r="F62" s="302">
        <f>SUM('CCS Budget - Detailed'!H165)</f>
        <v>0</v>
      </c>
      <c r="G62" s="290"/>
      <c r="H62" s="302">
        <v>0</v>
      </c>
      <c r="I62" s="290"/>
      <c r="J62" s="302">
        <v>0</v>
      </c>
      <c r="K62" s="290"/>
      <c r="L62" s="289"/>
      <c r="M62" s="290"/>
      <c r="N62" s="302">
        <v>0</v>
      </c>
      <c r="O62" s="290"/>
      <c r="P62" s="302">
        <v>0</v>
      </c>
      <c r="Q62" s="290"/>
      <c r="R62" s="302">
        <v>0</v>
      </c>
      <c r="S62" s="290"/>
      <c r="T62" s="302">
        <v>0</v>
      </c>
      <c r="U62" s="290"/>
      <c r="V62" s="302">
        <v>0</v>
      </c>
      <c r="W62" s="290"/>
      <c r="X62" s="302">
        <v>0</v>
      </c>
      <c r="Y62" s="290"/>
      <c r="Z62" s="290"/>
      <c r="AA62" s="302">
        <v>0</v>
      </c>
      <c r="AB62" s="290"/>
      <c r="AC62" s="302">
        <v>0</v>
      </c>
      <c r="AD62" s="290"/>
      <c r="AE62" s="302">
        <v>0</v>
      </c>
      <c r="AF62" s="290"/>
      <c r="AG62" s="302">
        <v>0</v>
      </c>
      <c r="AH62" s="290"/>
      <c r="AI62" s="302">
        <v>0</v>
      </c>
      <c r="AJ62" s="290"/>
      <c r="AK62" s="302">
        <v>0</v>
      </c>
      <c r="AL62" s="290"/>
      <c r="AM62" s="302">
        <v>0</v>
      </c>
      <c r="AN62" s="290"/>
      <c r="AO62" s="302">
        <v>0</v>
      </c>
      <c r="AP62" s="290"/>
      <c r="AQ62" s="302">
        <v>0</v>
      </c>
      <c r="AR62" s="290"/>
      <c r="AS62" s="302">
        <v>0</v>
      </c>
      <c r="AT62" s="290"/>
      <c r="AU62" s="290"/>
      <c r="AV62" s="302">
        <v>0</v>
      </c>
      <c r="AW62" s="290"/>
      <c r="AX62" s="302">
        <v>0</v>
      </c>
      <c r="AY62" s="290"/>
      <c r="AZ62" s="302">
        <v>0</v>
      </c>
      <c r="BA62" s="290"/>
      <c r="BB62" s="302">
        <v>0</v>
      </c>
      <c r="BC62" s="290"/>
      <c r="BD62" s="302">
        <v>0</v>
      </c>
      <c r="BE62" s="290"/>
      <c r="BF62" s="302">
        <v>0</v>
      </c>
      <c r="BG62" s="290"/>
      <c r="BH62" s="302">
        <v>0</v>
      </c>
      <c r="BI62" s="291"/>
      <c r="BJ62" s="292">
        <f t="shared" si="2"/>
        <v>7858</v>
      </c>
      <c r="BK62" s="298"/>
      <c r="BL62" s="299"/>
      <c r="BM62" s="299"/>
      <c r="BN62" s="300"/>
    </row>
    <row r="63" spans="1:66" s="301" customFormat="1" ht="18" x14ac:dyDescent="0.25">
      <c r="A63" s="268" t="s">
        <v>698</v>
      </c>
      <c r="B63" s="317" t="s">
        <v>492</v>
      </c>
      <c r="C63" s="298"/>
      <c r="D63" s="302">
        <f>'MCS Budget - Detailed'!N651+'MCS Budget - Detailed'!N652</f>
        <v>600</v>
      </c>
      <c r="E63" s="290"/>
      <c r="F63" s="302">
        <v>0</v>
      </c>
      <c r="G63" s="290"/>
      <c r="H63" s="302">
        <v>0</v>
      </c>
      <c r="I63" s="290"/>
      <c r="J63" s="302">
        <v>0</v>
      </c>
      <c r="K63" s="290"/>
      <c r="L63" s="289"/>
      <c r="M63" s="290"/>
      <c r="N63" s="302">
        <v>0</v>
      </c>
      <c r="O63" s="290"/>
      <c r="P63" s="302">
        <v>0</v>
      </c>
      <c r="Q63" s="290"/>
      <c r="R63" s="302">
        <v>0</v>
      </c>
      <c r="S63" s="290"/>
      <c r="T63" s="302">
        <v>0</v>
      </c>
      <c r="U63" s="290"/>
      <c r="V63" s="302">
        <v>0</v>
      </c>
      <c r="W63" s="290"/>
      <c r="X63" s="302">
        <v>0</v>
      </c>
      <c r="Y63" s="290"/>
      <c r="Z63" s="290"/>
      <c r="AA63" s="302">
        <v>0</v>
      </c>
      <c r="AB63" s="290"/>
      <c r="AC63" s="302">
        <v>0</v>
      </c>
      <c r="AD63" s="290"/>
      <c r="AE63" s="302">
        <v>0</v>
      </c>
      <c r="AF63" s="290"/>
      <c r="AG63" s="302">
        <v>0</v>
      </c>
      <c r="AH63" s="290"/>
      <c r="AI63" s="302">
        <v>0</v>
      </c>
      <c r="AJ63" s="290"/>
      <c r="AK63" s="302">
        <v>0</v>
      </c>
      <c r="AL63" s="290"/>
      <c r="AM63" s="302">
        <v>0</v>
      </c>
      <c r="AN63" s="290"/>
      <c r="AO63" s="302">
        <v>0</v>
      </c>
      <c r="AP63" s="290"/>
      <c r="AQ63" s="302">
        <v>0</v>
      </c>
      <c r="AR63" s="290"/>
      <c r="AS63" s="302">
        <v>0</v>
      </c>
      <c r="AT63" s="290"/>
      <c r="AU63" s="290"/>
      <c r="AV63" s="302">
        <v>0</v>
      </c>
      <c r="AW63" s="290"/>
      <c r="AX63" s="302">
        <v>0</v>
      </c>
      <c r="AY63" s="290"/>
      <c r="AZ63" s="302">
        <v>0</v>
      </c>
      <c r="BA63" s="290"/>
      <c r="BB63" s="302">
        <v>0</v>
      </c>
      <c r="BC63" s="290"/>
      <c r="BD63" s="302">
        <v>0</v>
      </c>
      <c r="BE63" s="290"/>
      <c r="BF63" s="302">
        <v>0</v>
      </c>
      <c r="BG63" s="290"/>
      <c r="BH63" s="302">
        <v>0</v>
      </c>
      <c r="BI63" s="291"/>
      <c r="BJ63" s="292">
        <f t="shared" si="2"/>
        <v>600</v>
      </c>
      <c r="BK63" s="298"/>
      <c r="BL63" s="299"/>
      <c r="BM63" s="299"/>
      <c r="BN63" s="300"/>
    </row>
    <row r="64" spans="1:66" s="301" customFormat="1" ht="18" x14ac:dyDescent="0.25">
      <c r="A64" s="268" t="s">
        <v>699</v>
      </c>
      <c r="B64" s="317" t="s">
        <v>700</v>
      </c>
      <c r="C64" s="298"/>
      <c r="D64" s="302">
        <v>0</v>
      </c>
      <c r="E64" s="290"/>
      <c r="F64" s="302">
        <v>0</v>
      </c>
      <c r="G64" s="290"/>
      <c r="H64" s="302">
        <v>0</v>
      </c>
      <c r="I64" s="290"/>
      <c r="J64" s="302">
        <v>0</v>
      </c>
      <c r="K64" s="290"/>
      <c r="L64" s="289"/>
      <c r="M64" s="290"/>
      <c r="N64" s="302">
        <v>0</v>
      </c>
      <c r="O64" s="290"/>
      <c r="P64" s="302">
        <v>0</v>
      </c>
      <c r="Q64" s="290"/>
      <c r="R64" s="302">
        <v>0</v>
      </c>
      <c r="S64" s="290"/>
      <c r="T64" s="302">
        <v>0</v>
      </c>
      <c r="U64" s="290"/>
      <c r="V64" s="302">
        <v>0</v>
      </c>
      <c r="W64" s="290"/>
      <c r="X64" s="302">
        <v>0</v>
      </c>
      <c r="Y64" s="290"/>
      <c r="Z64" s="290"/>
      <c r="AA64" s="302">
        <v>0</v>
      </c>
      <c r="AB64" s="290"/>
      <c r="AC64" s="302">
        <v>0</v>
      </c>
      <c r="AD64" s="290"/>
      <c r="AE64" s="302">
        <v>0</v>
      </c>
      <c r="AF64" s="290"/>
      <c r="AG64" s="302">
        <v>0</v>
      </c>
      <c r="AH64" s="290"/>
      <c r="AI64" s="302">
        <v>0</v>
      </c>
      <c r="AJ64" s="290"/>
      <c r="AK64" s="302">
        <v>0</v>
      </c>
      <c r="AL64" s="290"/>
      <c r="AM64" s="302">
        <v>0</v>
      </c>
      <c r="AN64" s="290"/>
      <c r="AO64" s="302">
        <v>0</v>
      </c>
      <c r="AP64" s="290"/>
      <c r="AQ64" s="302">
        <v>0</v>
      </c>
      <c r="AR64" s="290"/>
      <c r="AS64" s="302">
        <v>0</v>
      </c>
      <c r="AT64" s="290"/>
      <c r="AU64" s="290"/>
      <c r="AV64" s="302">
        <v>0</v>
      </c>
      <c r="AW64" s="290"/>
      <c r="AX64" s="302">
        <v>0</v>
      </c>
      <c r="AY64" s="290"/>
      <c r="AZ64" s="302">
        <v>0</v>
      </c>
      <c r="BA64" s="290"/>
      <c r="BB64" s="302">
        <v>0</v>
      </c>
      <c r="BC64" s="290"/>
      <c r="BD64" s="302">
        <v>0</v>
      </c>
      <c r="BE64" s="290"/>
      <c r="BF64" s="302">
        <v>0</v>
      </c>
      <c r="BG64" s="290"/>
      <c r="BH64" s="302">
        <v>0</v>
      </c>
      <c r="BI64" s="291"/>
      <c r="BJ64" s="292">
        <f t="shared" si="2"/>
        <v>0</v>
      </c>
      <c r="BK64" s="298"/>
      <c r="BL64" s="299"/>
      <c r="BM64" s="299"/>
      <c r="BN64" s="300"/>
    </row>
    <row r="65" spans="1:66" s="301" customFormat="1" ht="18.75" thickBot="1" x14ac:dyDescent="0.3">
      <c r="A65" s="268" t="s">
        <v>751</v>
      </c>
      <c r="B65" s="317" t="s">
        <v>506</v>
      </c>
      <c r="C65" s="298"/>
      <c r="D65" s="302">
        <v>0</v>
      </c>
      <c r="E65" s="290"/>
      <c r="F65" s="302">
        <v>0</v>
      </c>
      <c r="G65" s="290"/>
      <c r="H65" s="302"/>
      <c r="I65" s="290"/>
      <c r="J65" s="302">
        <v>0</v>
      </c>
      <c r="K65" s="290"/>
      <c r="L65" s="289"/>
      <c r="M65" s="290"/>
      <c r="N65" s="302">
        <v>0</v>
      </c>
      <c r="O65" s="290"/>
      <c r="P65" s="302"/>
      <c r="Q65" s="290"/>
      <c r="R65" s="302">
        <v>0</v>
      </c>
      <c r="S65" s="290"/>
      <c r="T65" s="302"/>
      <c r="U65" s="290"/>
      <c r="V65" s="302"/>
      <c r="W65" s="290"/>
      <c r="X65" s="302"/>
      <c r="Y65" s="290"/>
      <c r="Z65" s="290"/>
      <c r="AA65" s="302"/>
      <c r="AB65" s="290"/>
      <c r="AC65" s="302">
        <v>0</v>
      </c>
      <c r="AD65" s="290"/>
      <c r="AE65" s="302"/>
      <c r="AF65" s="290"/>
      <c r="AG65" s="302">
        <v>0</v>
      </c>
      <c r="AH65" s="290"/>
      <c r="AI65" s="302"/>
      <c r="AJ65" s="290"/>
      <c r="AK65" s="302">
        <v>0</v>
      </c>
      <c r="AL65" s="290"/>
      <c r="AM65" s="302"/>
      <c r="AN65" s="290"/>
      <c r="AO65" s="302"/>
      <c r="AP65" s="290"/>
      <c r="AQ65" s="302"/>
      <c r="AR65" s="290"/>
      <c r="AS65" s="302"/>
      <c r="AT65" s="290"/>
      <c r="AU65" s="290"/>
      <c r="AV65" s="302"/>
      <c r="AW65" s="290"/>
      <c r="AX65" s="302"/>
      <c r="AY65" s="290"/>
      <c r="AZ65" s="302"/>
      <c r="BA65" s="290"/>
      <c r="BB65" s="302"/>
      <c r="BC65" s="290"/>
      <c r="BD65" s="302">
        <v>0</v>
      </c>
      <c r="BE65" s="290"/>
      <c r="BF65" s="302"/>
      <c r="BG65" s="290"/>
      <c r="BH65" s="302"/>
      <c r="BI65" s="291"/>
      <c r="BJ65" s="292">
        <f t="shared" si="2"/>
        <v>0</v>
      </c>
      <c r="BK65" s="298"/>
      <c r="BL65" s="299"/>
      <c r="BM65" s="299"/>
      <c r="BN65" s="300"/>
    </row>
    <row r="66" spans="1:66" s="301" customFormat="1" ht="18.75" thickBot="1" x14ac:dyDescent="0.3">
      <c r="A66" s="303" t="s">
        <v>706</v>
      </c>
      <c r="B66" s="312"/>
      <c r="C66" s="307"/>
      <c r="D66" s="306">
        <f>SUM(D57:D65)</f>
        <v>70971</v>
      </c>
      <c r="E66" s="307"/>
      <c r="F66" s="306">
        <f>SUM(F57:F65)</f>
        <v>4878</v>
      </c>
      <c r="G66" s="307"/>
      <c r="H66" s="306">
        <f>SUM(H57:H64)</f>
        <v>0</v>
      </c>
      <c r="I66" s="307"/>
      <c r="J66" s="306">
        <f>SUM(J57:J65)</f>
        <v>14104</v>
      </c>
      <c r="K66" s="307"/>
      <c r="L66" s="306">
        <f>SUM(L57:L64)</f>
        <v>0</v>
      </c>
      <c r="M66" s="307"/>
      <c r="N66" s="306">
        <f>SUM(N57:N65)</f>
        <v>0</v>
      </c>
      <c r="O66" s="307"/>
      <c r="P66" s="306">
        <f>SUM(P57:P64)</f>
        <v>0</v>
      </c>
      <c r="Q66" s="307"/>
      <c r="R66" s="306">
        <f>SUM(R57:R65)</f>
        <v>0</v>
      </c>
      <c r="S66" s="307"/>
      <c r="T66" s="306">
        <f>SUM(T57:T64)</f>
        <v>0</v>
      </c>
      <c r="U66" s="307"/>
      <c r="V66" s="306">
        <f>SUM(V57:V64)</f>
        <v>0</v>
      </c>
      <c r="W66" s="307"/>
      <c r="X66" s="306">
        <f>SUM(X57:X64)</f>
        <v>0</v>
      </c>
      <c r="Y66" s="307"/>
      <c r="Z66" s="307"/>
      <c r="AA66" s="306">
        <f>SUM(AA57:AA64)</f>
        <v>0</v>
      </c>
      <c r="AB66" s="307"/>
      <c r="AC66" s="306">
        <f>SUM(AC57:AC65)</f>
        <v>0</v>
      </c>
      <c r="AD66" s="307"/>
      <c r="AE66" s="306">
        <f>SUM(AE57:AE64)</f>
        <v>0</v>
      </c>
      <c r="AF66" s="307"/>
      <c r="AG66" s="306">
        <f>SUM(AG57:AG65)</f>
        <v>0</v>
      </c>
      <c r="AH66" s="307"/>
      <c r="AI66" s="306">
        <f>SUM(AI57:AI64)</f>
        <v>0</v>
      </c>
      <c r="AJ66" s="307"/>
      <c r="AK66" s="306">
        <f>SUM(AK57:AK65)</f>
        <v>0</v>
      </c>
      <c r="AL66" s="307"/>
      <c r="AM66" s="306">
        <f>SUM(AM57:AM64)</f>
        <v>0</v>
      </c>
      <c r="AN66" s="307"/>
      <c r="AO66" s="306">
        <f>SUM(AO57:AO64)</f>
        <v>0</v>
      </c>
      <c r="AP66" s="307"/>
      <c r="AQ66" s="306">
        <f>SUM(AQ57:AQ64)</f>
        <v>0</v>
      </c>
      <c r="AR66" s="307"/>
      <c r="AS66" s="306">
        <f>SUM(AS57:AS64)</f>
        <v>0</v>
      </c>
      <c r="AT66" s="307"/>
      <c r="AU66" s="307"/>
      <c r="AV66" s="306">
        <f>SUM(AV57:AV64)</f>
        <v>0</v>
      </c>
      <c r="AW66" s="307"/>
      <c r="AX66" s="306">
        <f>SUM(AX57:AX64)</f>
        <v>0</v>
      </c>
      <c r="AY66" s="307"/>
      <c r="AZ66" s="306">
        <f>SUM(AZ57:AZ64)</f>
        <v>0</v>
      </c>
      <c r="BA66" s="307"/>
      <c r="BB66" s="306">
        <f>SUM(BB57:BB64)</f>
        <v>0</v>
      </c>
      <c r="BC66" s="307"/>
      <c r="BD66" s="306">
        <f>SUM(BD57:BD65)</f>
        <v>0</v>
      </c>
      <c r="BE66" s="307"/>
      <c r="BF66" s="306">
        <f>SUM(BF57:BF64)</f>
        <v>0</v>
      </c>
      <c r="BG66" s="307"/>
      <c r="BH66" s="306">
        <f>SUM(BH57:BH64)</f>
        <v>0</v>
      </c>
      <c r="BI66" s="307"/>
      <c r="BJ66" s="306">
        <f>D66+F66+H66+J66+X66+N66+P66+R66+T66+V66+AA66+AC66+AG66+AI66+AK66+AM66+AO66+AQ66+AS66+AV66+AX66+AZ66+BB66+BD66+BH66+BF66+AE66</f>
        <v>89953</v>
      </c>
      <c r="BK66" s="307"/>
      <c r="BL66" s="308"/>
      <c r="BM66" s="308"/>
      <c r="BN66" s="300"/>
    </row>
    <row r="67" spans="1:66" s="301" customFormat="1" ht="18" x14ac:dyDescent="0.25">
      <c r="A67" s="268"/>
      <c r="B67" s="294"/>
      <c r="C67" s="298"/>
      <c r="D67" s="292"/>
      <c r="E67" s="291"/>
      <c r="F67" s="292"/>
      <c r="G67" s="291"/>
      <c r="H67" s="292"/>
      <c r="I67" s="291"/>
      <c r="J67" s="292"/>
      <c r="K67" s="291"/>
      <c r="L67" s="309"/>
      <c r="M67" s="291"/>
      <c r="N67" s="292"/>
      <c r="O67" s="291"/>
      <c r="P67" s="292"/>
      <c r="Q67" s="291"/>
      <c r="R67" s="292"/>
      <c r="S67" s="291"/>
      <c r="T67" s="292"/>
      <c r="U67" s="291"/>
      <c r="V67" s="292"/>
      <c r="W67" s="291"/>
      <c r="X67" s="292"/>
      <c r="Y67" s="291"/>
      <c r="Z67" s="291"/>
      <c r="AA67" s="292"/>
      <c r="AB67" s="291"/>
      <c r="AC67" s="292"/>
      <c r="AD67" s="291"/>
      <c r="AE67" s="292"/>
      <c r="AF67" s="291"/>
      <c r="AG67" s="292"/>
      <c r="AH67" s="291"/>
      <c r="AI67" s="292"/>
      <c r="AJ67" s="291"/>
      <c r="AK67" s="292"/>
      <c r="AL67" s="291"/>
      <c r="AM67" s="292"/>
      <c r="AN67" s="291"/>
      <c r="AO67" s="292"/>
      <c r="AP67" s="291"/>
      <c r="AQ67" s="292"/>
      <c r="AR67" s="291"/>
      <c r="AS67" s="292"/>
      <c r="AT67" s="291"/>
      <c r="AU67" s="291"/>
      <c r="AV67" s="292"/>
      <c r="AW67" s="291"/>
      <c r="AX67" s="292"/>
      <c r="AY67" s="291"/>
      <c r="AZ67" s="292"/>
      <c r="BA67" s="291"/>
      <c r="BB67" s="292"/>
      <c r="BC67" s="291"/>
      <c r="BD67" s="292"/>
      <c r="BE67" s="291"/>
      <c r="BF67" s="292"/>
      <c r="BG67" s="291"/>
      <c r="BH67" s="292"/>
      <c r="BI67" s="291"/>
      <c r="BJ67" s="300"/>
      <c r="BK67" s="298"/>
      <c r="BL67" s="299"/>
      <c r="BM67" s="299"/>
      <c r="BN67" s="300"/>
    </row>
    <row r="68" spans="1:66" s="301" customFormat="1" ht="54" x14ac:dyDescent="0.25">
      <c r="A68" s="268" t="s">
        <v>707</v>
      </c>
      <c r="B68" s="294"/>
      <c r="C68" s="298"/>
      <c r="D68" s="292"/>
      <c r="E68" s="291"/>
      <c r="F68" s="292"/>
      <c r="G68" s="291"/>
      <c r="H68" s="292"/>
      <c r="I68" s="291"/>
      <c r="J68" s="292"/>
      <c r="K68" s="291"/>
      <c r="L68" s="309"/>
      <c r="M68" s="291"/>
      <c r="N68" s="292"/>
      <c r="O68" s="291"/>
      <c r="P68" s="292"/>
      <c r="Q68" s="291"/>
      <c r="R68" s="292"/>
      <c r="S68" s="291"/>
      <c r="T68" s="292"/>
      <c r="U68" s="291"/>
      <c r="V68" s="292"/>
      <c r="W68" s="291"/>
      <c r="X68" s="292"/>
      <c r="Y68" s="291"/>
      <c r="Z68" s="291"/>
      <c r="AA68" s="292"/>
      <c r="AB68" s="291"/>
      <c r="AC68" s="292"/>
      <c r="AD68" s="291"/>
      <c r="AE68" s="292"/>
      <c r="AF68" s="291"/>
      <c r="AG68" s="292"/>
      <c r="AH68" s="291"/>
      <c r="AI68" s="292"/>
      <c r="AJ68" s="291"/>
      <c r="AK68" s="292"/>
      <c r="AL68" s="291"/>
      <c r="AM68" s="292"/>
      <c r="AN68" s="291"/>
      <c r="AO68" s="292"/>
      <c r="AP68" s="291"/>
      <c r="AQ68" s="292"/>
      <c r="AR68" s="291"/>
      <c r="AS68" s="292"/>
      <c r="AT68" s="291"/>
      <c r="AU68" s="291"/>
      <c r="AV68" s="292"/>
      <c r="AW68" s="291"/>
      <c r="AX68" s="292"/>
      <c r="AY68" s="291"/>
      <c r="AZ68" s="292"/>
      <c r="BA68" s="291"/>
      <c r="BB68" s="292"/>
      <c r="BC68" s="291"/>
      <c r="BD68" s="292"/>
      <c r="BE68" s="291"/>
      <c r="BF68" s="292"/>
      <c r="BG68" s="291"/>
      <c r="BH68" s="292"/>
      <c r="BI68" s="291"/>
      <c r="BJ68" s="300"/>
      <c r="BK68" s="298"/>
      <c r="BL68" s="299"/>
      <c r="BM68" s="299"/>
      <c r="BN68" s="300"/>
    </row>
    <row r="69" spans="1:66" s="301" customFormat="1" ht="18" x14ac:dyDescent="0.25">
      <c r="A69" s="268" t="s">
        <v>690</v>
      </c>
      <c r="B69" s="317" t="s">
        <v>691</v>
      </c>
      <c r="C69" s="298"/>
      <c r="D69" s="289">
        <f>'MCS Budget - Detailed'!N670+'MCS Budget - Detailed'!N671+'MCS Budget - Detailed'!N694+'MCS Budget - Detailed'!N697+'MCS Budget - Detailed'!N723+'MCS Budget - Detailed'!N654+'MCS Budget - Detailed'!N695+'MCS Budget - Detailed'!N696+'MCS Budget - Detailed'!N698</f>
        <v>119323</v>
      </c>
      <c r="E69" s="290"/>
      <c r="F69" s="289">
        <v>0</v>
      </c>
      <c r="G69" s="290"/>
      <c r="H69" s="289">
        <v>0</v>
      </c>
      <c r="I69" s="290"/>
      <c r="J69" s="289">
        <v>0</v>
      </c>
      <c r="K69" s="290"/>
      <c r="L69" s="289"/>
      <c r="M69" s="290"/>
      <c r="N69" s="289">
        <v>0</v>
      </c>
      <c r="O69" s="290"/>
      <c r="P69" s="289">
        <v>0</v>
      </c>
      <c r="Q69" s="290"/>
      <c r="R69" s="289">
        <v>0</v>
      </c>
      <c r="S69" s="290"/>
      <c r="T69" s="289">
        <v>0</v>
      </c>
      <c r="U69" s="290"/>
      <c r="V69" s="289">
        <v>0</v>
      </c>
      <c r="W69" s="290"/>
      <c r="X69" s="289">
        <v>0</v>
      </c>
      <c r="Y69" s="290"/>
      <c r="Z69" s="290"/>
      <c r="AA69" s="289">
        <v>0</v>
      </c>
      <c r="AB69" s="290"/>
      <c r="AC69" s="289">
        <v>0</v>
      </c>
      <c r="AD69" s="290"/>
      <c r="AE69" s="289">
        <v>0</v>
      </c>
      <c r="AF69" s="290"/>
      <c r="AG69" s="289">
        <v>0</v>
      </c>
      <c r="AH69" s="290"/>
      <c r="AI69" s="289">
        <v>0</v>
      </c>
      <c r="AJ69" s="290"/>
      <c r="AK69" s="289">
        <v>0</v>
      </c>
      <c r="AL69" s="290"/>
      <c r="AM69" s="289">
        <v>0</v>
      </c>
      <c r="AN69" s="290"/>
      <c r="AO69" s="289">
        <v>0</v>
      </c>
      <c r="AP69" s="290"/>
      <c r="AQ69" s="289">
        <v>0</v>
      </c>
      <c r="AR69" s="290"/>
      <c r="AS69" s="289">
        <v>0</v>
      </c>
      <c r="AT69" s="290"/>
      <c r="AU69" s="290"/>
      <c r="AV69" s="289">
        <v>0</v>
      </c>
      <c r="AW69" s="290"/>
      <c r="AX69" s="289">
        <v>0</v>
      </c>
      <c r="AY69" s="290"/>
      <c r="AZ69" s="289">
        <v>0</v>
      </c>
      <c r="BA69" s="290"/>
      <c r="BB69" s="289">
        <v>0</v>
      </c>
      <c r="BC69" s="290"/>
      <c r="BD69" s="289">
        <v>0</v>
      </c>
      <c r="BE69" s="290"/>
      <c r="BF69" s="289">
        <v>0</v>
      </c>
      <c r="BG69" s="290"/>
      <c r="BH69" s="289">
        <v>0</v>
      </c>
      <c r="BI69" s="291"/>
      <c r="BJ69" s="292">
        <f t="shared" ref="BJ69:BJ77" si="3">D69+F69+H69+J69+X69+N69+P69+R69+T69+V69+AA69+AC69+AG69+AI69+AK69+AM69+AO69+AQ69+AS69+AV69+AX69+AZ69+BB69+BD69+BH69+BF69+AE69</f>
        <v>119323</v>
      </c>
      <c r="BK69" s="298"/>
      <c r="BL69" s="299"/>
      <c r="BM69" s="299"/>
      <c r="BN69" s="300"/>
    </row>
    <row r="70" spans="1:66" s="301" customFormat="1" ht="18" x14ac:dyDescent="0.25">
      <c r="A70" s="268" t="s">
        <v>692</v>
      </c>
      <c r="B70" s="317" t="s">
        <v>693</v>
      </c>
      <c r="C70" s="298"/>
      <c r="D70" s="289">
        <f>'MCS Budget - Detailed'!N672+'MCS Budget - Detailed'!N673+'MCS Budget - Detailed'!N674+'MCS Budget - Detailed'!N675+'MCS Budget - Detailed'!N676+'MCS Budget - Detailed'!N699+'MCS Budget - Detailed'!N701+'MCS Budget - Detailed'!N705+'MCS Budget - Detailed'!N709+'MCS Budget - Detailed'!N713+'MCS Budget - Detailed'!N724+'MCS Budget - Detailed'!N725+'MCS Budget - Detailed'!N726+'MCS Budget - Detailed'!N727+'MCS Budget - Detailed'!N728+'MCS Budget - Detailed'!N655+'MCS Budget - Detailed'!N656+'MCS Budget - Detailed'!N657+'MCS Budget - Detailed'!N703+'MCS Budget - Detailed'!N707+'MCS Budget - Detailed'!N711+'MCS Budget - Detailed'!N700+'MCS Budget - Detailed'!N702+'MCS Budget - Detailed'!N706+'MCS Budget - Detailed'!N710+'MCS Budget - Detailed'!N714+'MCS Budget - Detailed'!N704+'MCS Budget - Detailed'!N708+'MCS Budget - Detailed'!N712+'MCS Budget - Detailed'!N715+'MCS Budget - Detailed'!N729+'MCS Budget - Detailed'!N677</f>
        <v>41517</v>
      </c>
      <c r="E70" s="290"/>
      <c r="F70" s="289">
        <v>0</v>
      </c>
      <c r="G70" s="290"/>
      <c r="H70" s="289">
        <v>0</v>
      </c>
      <c r="I70" s="290"/>
      <c r="J70" s="289">
        <v>0</v>
      </c>
      <c r="K70" s="290"/>
      <c r="L70" s="289"/>
      <c r="M70" s="290"/>
      <c r="N70" s="289">
        <v>0</v>
      </c>
      <c r="O70" s="290"/>
      <c r="P70" s="289">
        <v>0</v>
      </c>
      <c r="Q70" s="290"/>
      <c r="R70" s="289">
        <v>0</v>
      </c>
      <c r="S70" s="290"/>
      <c r="T70" s="289">
        <v>0</v>
      </c>
      <c r="U70" s="290"/>
      <c r="V70" s="289">
        <v>0</v>
      </c>
      <c r="W70" s="290"/>
      <c r="X70" s="289">
        <v>0</v>
      </c>
      <c r="Y70" s="290"/>
      <c r="Z70" s="290"/>
      <c r="AA70" s="289">
        <v>0</v>
      </c>
      <c r="AB70" s="290"/>
      <c r="AC70" s="289">
        <v>0</v>
      </c>
      <c r="AD70" s="290"/>
      <c r="AE70" s="289">
        <v>0</v>
      </c>
      <c r="AF70" s="290"/>
      <c r="AG70" s="289">
        <v>0</v>
      </c>
      <c r="AH70" s="290"/>
      <c r="AI70" s="289">
        <v>0</v>
      </c>
      <c r="AJ70" s="290"/>
      <c r="AK70" s="289">
        <v>0</v>
      </c>
      <c r="AL70" s="290"/>
      <c r="AM70" s="289">
        <v>0</v>
      </c>
      <c r="AN70" s="290"/>
      <c r="AO70" s="289">
        <v>0</v>
      </c>
      <c r="AP70" s="290"/>
      <c r="AQ70" s="289">
        <v>0</v>
      </c>
      <c r="AR70" s="290"/>
      <c r="AS70" s="289">
        <v>0</v>
      </c>
      <c r="AT70" s="290"/>
      <c r="AU70" s="290"/>
      <c r="AV70" s="289">
        <v>0</v>
      </c>
      <c r="AW70" s="290"/>
      <c r="AX70" s="289">
        <v>0</v>
      </c>
      <c r="AY70" s="290"/>
      <c r="AZ70" s="289">
        <v>0</v>
      </c>
      <c r="BA70" s="290"/>
      <c r="BB70" s="289">
        <v>0</v>
      </c>
      <c r="BC70" s="290"/>
      <c r="BD70" s="289">
        <v>0</v>
      </c>
      <c r="BE70" s="290"/>
      <c r="BF70" s="289">
        <v>0</v>
      </c>
      <c r="BG70" s="290"/>
      <c r="BH70" s="289">
        <v>0</v>
      </c>
      <c r="BI70" s="291"/>
      <c r="BJ70" s="292">
        <f t="shared" si="3"/>
        <v>41517</v>
      </c>
      <c r="BK70" s="298"/>
      <c r="BL70" s="299"/>
      <c r="BM70" s="299"/>
      <c r="BN70" s="300"/>
    </row>
    <row r="71" spans="1:66" s="301" customFormat="1" ht="18" x14ac:dyDescent="0.25">
      <c r="A71" s="268" t="s">
        <v>694</v>
      </c>
      <c r="B71" s="317" t="s">
        <v>482</v>
      </c>
      <c r="C71" s="298"/>
      <c r="D71" s="289">
        <f>'MCS Budget - Detailed'!N658+'MCS Budget - Detailed'!N659+'MCS Budget - Detailed'!N666+'MCS Budget - Detailed'!N678+'MCS Budget - Detailed'!N716+'MCS Budget - Detailed'!N679</f>
        <v>36138</v>
      </c>
      <c r="E71" s="290"/>
      <c r="F71" s="289">
        <v>0</v>
      </c>
      <c r="G71" s="290"/>
      <c r="H71" s="289">
        <v>0</v>
      </c>
      <c r="I71" s="290"/>
      <c r="J71" s="289">
        <f>'MCS Budget - Detailed'!N907</f>
        <v>8338</v>
      </c>
      <c r="K71" s="290"/>
      <c r="L71" s="289"/>
      <c r="M71" s="290"/>
      <c r="N71" s="289">
        <v>0</v>
      </c>
      <c r="O71" s="290"/>
      <c r="P71" s="289">
        <v>0</v>
      </c>
      <c r="Q71" s="290"/>
      <c r="R71" s="289">
        <v>0</v>
      </c>
      <c r="S71" s="290"/>
      <c r="T71" s="289">
        <v>0</v>
      </c>
      <c r="U71" s="290"/>
      <c r="V71" s="289">
        <v>0</v>
      </c>
      <c r="W71" s="290"/>
      <c r="X71" s="289">
        <v>0</v>
      </c>
      <c r="Y71" s="290"/>
      <c r="Z71" s="290"/>
      <c r="AA71" s="289">
        <v>0</v>
      </c>
      <c r="AB71" s="290"/>
      <c r="AC71" s="289">
        <v>0</v>
      </c>
      <c r="AD71" s="290"/>
      <c r="AE71" s="289">
        <v>0</v>
      </c>
      <c r="AF71" s="290"/>
      <c r="AG71" s="289">
        <v>0</v>
      </c>
      <c r="AH71" s="290"/>
      <c r="AI71" s="289">
        <v>0</v>
      </c>
      <c r="AJ71" s="290"/>
      <c r="AK71" s="289">
        <v>0</v>
      </c>
      <c r="AL71" s="290"/>
      <c r="AM71" s="289">
        <v>0</v>
      </c>
      <c r="AN71" s="290"/>
      <c r="AO71" s="289">
        <v>0</v>
      </c>
      <c r="AP71" s="290"/>
      <c r="AQ71" s="289">
        <v>0</v>
      </c>
      <c r="AR71" s="290"/>
      <c r="AS71" s="289">
        <v>0</v>
      </c>
      <c r="AT71" s="290"/>
      <c r="AU71" s="290"/>
      <c r="AV71" s="289">
        <v>0</v>
      </c>
      <c r="AW71" s="290"/>
      <c r="AX71" s="289">
        <v>0</v>
      </c>
      <c r="AY71" s="290"/>
      <c r="AZ71" s="289">
        <v>0</v>
      </c>
      <c r="BA71" s="290"/>
      <c r="BB71" s="289">
        <v>0</v>
      </c>
      <c r="BC71" s="290"/>
      <c r="BD71" s="289">
        <v>0</v>
      </c>
      <c r="BE71" s="290"/>
      <c r="BF71" s="289">
        <v>0</v>
      </c>
      <c r="BG71" s="290"/>
      <c r="BH71" s="289">
        <v>0</v>
      </c>
      <c r="BI71" s="291"/>
      <c r="BJ71" s="292">
        <f t="shared" si="3"/>
        <v>44476</v>
      </c>
      <c r="BK71" s="298"/>
      <c r="BL71" s="299"/>
      <c r="BM71" s="299"/>
      <c r="BN71" s="300"/>
    </row>
    <row r="72" spans="1:66" s="301" customFormat="1" ht="18" x14ac:dyDescent="0.25">
      <c r="A72" s="268" t="s">
        <v>749</v>
      </c>
      <c r="B72" s="317" t="s">
        <v>695</v>
      </c>
      <c r="C72" s="298"/>
      <c r="D72" s="289">
        <v>0</v>
      </c>
      <c r="E72" s="290"/>
      <c r="F72" s="289">
        <v>0</v>
      </c>
      <c r="G72" s="290"/>
      <c r="H72" s="289"/>
      <c r="I72" s="290"/>
      <c r="J72" s="289">
        <v>0</v>
      </c>
      <c r="K72" s="290"/>
      <c r="L72" s="289"/>
      <c r="M72" s="290"/>
      <c r="N72" s="289">
        <v>0</v>
      </c>
      <c r="O72" s="290"/>
      <c r="P72" s="289"/>
      <c r="Q72" s="290"/>
      <c r="R72" s="289">
        <v>0</v>
      </c>
      <c r="S72" s="290"/>
      <c r="T72" s="289"/>
      <c r="U72" s="290"/>
      <c r="V72" s="289"/>
      <c r="W72" s="290"/>
      <c r="X72" s="289"/>
      <c r="Y72" s="290"/>
      <c r="Z72" s="290"/>
      <c r="AA72" s="289"/>
      <c r="AB72" s="290"/>
      <c r="AC72" s="289">
        <v>0</v>
      </c>
      <c r="AD72" s="290"/>
      <c r="AE72" s="289"/>
      <c r="AF72" s="290"/>
      <c r="AG72" s="289">
        <v>0</v>
      </c>
      <c r="AH72" s="290"/>
      <c r="AI72" s="289"/>
      <c r="AJ72" s="290"/>
      <c r="AK72" s="289">
        <v>0</v>
      </c>
      <c r="AL72" s="290"/>
      <c r="AM72" s="289"/>
      <c r="AN72" s="290"/>
      <c r="AO72" s="289"/>
      <c r="AP72" s="290"/>
      <c r="AQ72" s="289"/>
      <c r="AR72" s="290"/>
      <c r="AS72" s="289"/>
      <c r="AT72" s="290"/>
      <c r="AU72" s="290"/>
      <c r="AV72" s="289"/>
      <c r="AW72" s="290"/>
      <c r="AX72" s="289"/>
      <c r="AY72" s="290"/>
      <c r="AZ72" s="289"/>
      <c r="BA72" s="290"/>
      <c r="BB72" s="289"/>
      <c r="BC72" s="290"/>
      <c r="BD72" s="289">
        <v>0</v>
      </c>
      <c r="BE72" s="290"/>
      <c r="BF72" s="289"/>
      <c r="BG72" s="290"/>
      <c r="BH72" s="289"/>
      <c r="BI72" s="291"/>
      <c r="BJ72" s="292">
        <f t="shared" si="3"/>
        <v>0</v>
      </c>
      <c r="BK72" s="298"/>
      <c r="BL72" s="299"/>
      <c r="BM72" s="299"/>
      <c r="BN72" s="300"/>
    </row>
    <row r="73" spans="1:66" s="301" customFormat="1" ht="18" x14ac:dyDescent="0.25">
      <c r="A73" s="268" t="s">
        <v>750</v>
      </c>
      <c r="B73" s="317" t="s">
        <v>696</v>
      </c>
      <c r="C73" s="298"/>
      <c r="D73" s="289">
        <f>'MCS Budget - Detailed'!N661+'MCS Budget - Detailed'!N662+'MCS Budget - Detailed'!N668+'MCS Budget - Detailed'!N681+'MCS Budget - Detailed'!N682+'MCS Budget - Detailed'!N683+'MCS Budget - Detailed'!N717+'MCS Budget - Detailed'!N684+'MCS Budget - Detailed'!N660+'MCS Budget - Detailed'!N680+'MCS Budget - Detailed'!N718</f>
        <v>55490</v>
      </c>
      <c r="E73" s="290"/>
      <c r="F73" s="289">
        <f>'CCS Budget - Detailed'!H248</f>
        <v>215000</v>
      </c>
      <c r="G73" s="290"/>
      <c r="H73" s="289"/>
      <c r="I73" s="290"/>
      <c r="J73" s="289">
        <v>0</v>
      </c>
      <c r="K73" s="290"/>
      <c r="L73" s="289"/>
      <c r="M73" s="290"/>
      <c r="N73" s="289">
        <v>0</v>
      </c>
      <c r="O73" s="290"/>
      <c r="P73" s="289"/>
      <c r="Q73" s="290"/>
      <c r="R73" s="289">
        <v>0</v>
      </c>
      <c r="S73" s="290"/>
      <c r="T73" s="289"/>
      <c r="U73" s="290"/>
      <c r="V73" s="289"/>
      <c r="W73" s="290"/>
      <c r="X73" s="289"/>
      <c r="Y73" s="290"/>
      <c r="Z73" s="290"/>
      <c r="AA73" s="289"/>
      <c r="AB73" s="290"/>
      <c r="AC73" s="289">
        <v>0</v>
      </c>
      <c r="AD73" s="290"/>
      <c r="AE73" s="289"/>
      <c r="AF73" s="290"/>
      <c r="AG73" s="289">
        <v>0</v>
      </c>
      <c r="AH73" s="290"/>
      <c r="AI73" s="289"/>
      <c r="AJ73" s="290"/>
      <c r="AK73" s="289">
        <v>0</v>
      </c>
      <c r="AL73" s="290"/>
      <c r="AM73" s="289"/>
      <c r="AN73" s="290"/>
      <c r="AO73" s="289"/>
      <c r="AP73" s="290"/>
      <c r="AQ73" s="289"/>
      <c r="AR73" s="290"/>
      <c r="AS73" s="289"/>
      <c r="AT73" s="290"/>
      <c r="AU73" s="290"/>
      <c r="AV73" s="289"/>
      <c r="AW73" s="290"/>
      <c r="AX73" s="289"/>
      <c r="AY73" s="290"/>
      <c r="AZ73" s="289"/>
      <c r="BA73" s="290"/>
      <c r="BB73" s="289"/>
      <c r="BC73" s="290"/>
      <c r="BD73" s="289">
        <v>0</v>
      </c>
      <c r="BE73" s="290"/>
      <c r="BF73" s="289"/>
      <c r="BG73" s="290"/>
      <c r="BH73" s="289"/>
      <c r="BI73" s="291"/>
      <c r="BJ73" s="292">
        <f t="shared" si="3"/>
        <v>270490</v>
      </c>
      <c r="BK73" s="298"/>
      <c r="BL73" s="299"/>
      <c r="BM73" s="299"/>
      <c r="BN73" s="300"/>
    </row>
    <row r="74" spans="1:66" s="301" customFormat="1" ht="18" x14ac:dyDescent="0.25">
      <c r="A74" s="268" t="s">
        <v>697</v>
      </c>
      <c r="B74" s="317" t="s">
        <v>624</v>
      </c>
      <c r="C74" s="298"/>
      <c r="D74" s="289">
        <f>'MCS Budget - Detailed'!N663+'MCS Budget - Detailed'!N685+'MCS Budget - Detailed'!N719+'MCS Budget - Detailed'!N686+'MCS Budget - Detailed'!N720+'MCS Budget - Detailed'!N721</f>
        <v>19136</v>
      </c>
      <c r="E74" s="290"/>
      <c r="F74" s="289">
        <v>0</v>
      </c>
      <c r="G74" s="290"/>
      <c r="H74" s="289">
        <v>0</v>
      </c>
      <c r="I74" s="290"/>
      <c r="J74" s="289">
        <v>0</v>
      </c>
      <c r="K74" s="290"/>
      <c r="L74" s="289"/>
      <c r="M74" s="290"/>
      <c r="N74" s="289">
        <v>0</v>
      </c>
      <c r="O74" s="290"/>
      <c r="P74" s="289">
        <v>0</v>
      </c>
      <c r="Q74" s="290"/>
      <c r="R74" s="289">
        <v>0</v>
      </c>
      <c r="S74" s="290"/>
      <c r="T74" s="289">
        <v>0</v>
      </c>
      <c r="U74" s="290"/>
      <c r="V74" s="289">
        <v>0</v>
      </c>
      <c r="W74" s="290"/>
      <c r="X74" s="289">
        <v>0</v>
      </c>
      <c r="Y74" s="290"/>
      <c r="Z74" s="290"/>
      <c r="AA74" s="289">
        <v>0</v>
      </c>
      <c r="AB74" s="290"/>
      <c r="AC74" s="289">
        <v>0</v>
      </c>
      <c r="AD74" s="290"/>
      <c r="AE74" s="289">
        <v>0</v>
      </c>
      <c r="AF74" s="290"/>
      <c r="AG74" s="289">
        <v>0</v>
      </c>
      <c r="AH74" s="290"/>
      <c r="AI74" s="289">
        <v>0</v>
      </c>
      <c r="AJ74" s="290"/>
      <c r="AK74" s="289">
        <v>0</v>
      </c>
      <c r="AL74" s="290"/>
      <c r="AM74" s="289">
        <v>0</v>
      </c>
      <c r="AN74" s="290"/>
      <c r="AO74" s="289">
        <v>0</v>
      </c>
      <c r="AP74" s="290"/>
      <c r="AQ74" s="289">
        <v>0</v>
      </c>
      <c r="AR74" s="290"/>
      <c r="AS74" s="289">
        <v>0</v>
      </c>
      <c r="AT74" s="290"/>
      <c r="AU74" s="290"/>
      <c r="AV74" s="289">
        <v>0</v>
      </c>
      <c r="AW74" s="290"/>
      <c r="AX74" s="289">
        <v>0</v>
      </c>
      <c r="AY74" s="290"/>
      <c r="AZ74" s="289">
        <v>0</v>
      </c>
      <c r="BA74" s="290"/>
      <c r="BB74" s="289">
        <v>0</v>
      </c>
      <c r="BC74" s="290"/>
      <c r="BD74" s="289">
        <v>0</v>
      </c>
      <c r="BE74" s="290"/>
      <c r="BF74" s="289">
        <v>0</v>
      </c>
      <c r="BG74" s="290"/>
      <c r="BH74" s="289">
        <v>0</v>
      </c>
      <c r="BI74" s="291"/>
      <c r="BJ74" s="292">
        <f t="shared" si="3"/>
        <v>19136</v>
      </c>
      <c r="BK74" s="298"/>
      <c r="BL74" s="299"/>
      <c r="BM74" s="299"/>
      <c r="BN74" s="300"/>
    </row>
    <row r="75" spans="1:66" s="301" customFormat="1" ht="18" x14ac:dyDescent="0.25">
      <c r="A75" s="268" t="s">
        <v>698</v>
      </c>
      <c r="B75" s="317" t="s">
        <v>492</v>
      </c>
      <c r="C75" s="298"/>
      <c r="D75" s="289">
        <f>'MCS Budget - Detailed'!N687</f>
        <v>1000</v>
      </c>
      <c r="E75" s="290"/>
      <c r="F75" s="289">
        <v>0</v>
      </c>
      <c r="G75" s="290"/>
      <c r="H75" s="289">
        <v>0</v>
      </c>
      <c r="I75" s="290"/>
      <c r="J75" s="289">
        <v>0</v>
      </c>
      <c r="K75" s="290"/>
      <c r="L75" s="289"/>
      <c r="M75" s="290"/>
      <c r="N75" s="289">
        <v>0</v>
      </c>
      <c r="O75" s="290"/>
      <c r="P75" s="289">
        <v>0</v>
      </c>
      <c r="Q75" s="290"/>
      <c r="R75" s="289">
        <v>0</v>
      </c>
      <c r="S75" s="290"/>
      <c r="T75" s="289">
        <v>0</v>
      </c>
      <c r="U75" s="290"/>
      <c r="V75" s="289">
        <v>0</v>
      </c>
      <c r="W75" s="290"/>
      <c r="X75" s="289">
        <v>0</v>
      </c>
      <c r="Y75" s="290"/>
      <c r="Z75" s="290"/>
      <c r="AA75" s="289">
        <v>0</v>
      </c>
      <c r="AB75" s="290"/>
      <c r="AC75" s="289">
        <v>0</v>
      </c>
      <c r="AD75" s="290"/>
      <c r="AE75" s="289">
        <v>0</v>
      </c>
      <c r="AF75" s="290"/>
      <c r="AG75" s="289">
        <v>0</v>
      </c>
      <c r="AH75" s="290"/>
      <c r="AI75" s="289">
        <v>0</v>
      </c>
      <c r="AJ75" s="290"/>
      <c r="AK75" s="289">
        <v>0</v>
      </c>
      <c r="AL75" s="290"/>
      <c r="AM75" s="289">
        <v>0</v>
      </c>
      <c r="AN75" s="290"/>
      <c r="AO75" s="289">
        <v>0</v>
      </c>
      <c r="AP75" s="290"/>
      <c r="AQ75" s="289">
        <v>0</v>
      </c>
      <c r="AR75" s="290"/>
      <c r="AS75" s="289">
        <v>0</v>
      </c>
      <c r="AT75" s="290"/>
      <c r="AU75" s="290"/>
      <c r="AV75" s="289">
        <v>0</v>
      </c>
      <c r="AW75" s="290"/>
      <c r="AX75" s="289">
        <v>0</v>
      </c>
      <c r="AY75" s="290"/>
      <c r="AZ75" s="289">
        <v>0</v>
      </c>
      <c r="BA75" s="290"/>
      <c r="BB75" s="289">
        <v>0</v>
      </c>
      <c r="BC75" s="290"/>
      <c r="BD75" s="289">
        <v>0</v>
      </c>
      <c r="BE75" s="290"/>
      <c r="BF75" s="289">
        <v>0</v>
      </c>
      <c r="BG75" s="290"/>
      <c r="BH75" s="289">
        <v>0</v>
      </c>
      <c r="BI75" s="291"/>
      <c r="BJ75" s="292">
        <f t="shared" si="3"/>
        <v>1000</v>
      </c>
      <c r="BK75" s="298"/>
      <c r="BL75" s="299"/>
      <c r="BM75" s="299"/>
      <c r="BN75" s="300"/>
    </row>
    <row r="76" spans="1:66" s="301" customFormat="1" ht="18" x14ac:dyDescent="0.25">
      <c r="A76" s="268" t="s">
        <v>699</v>
      </c>
      <c r="B76" s="317" t="s">
        <v>700</v>
      </c>
      <c r="C76" s="298"/>
      <c r="D76" s="289">
        <f>'MCS Budget - Detailed'!N664+'MCS Budget - Detailed'!N688+'MCS Budget - Detailed'!N690+'MCS Budget - Detailed'!N691+'MCS Budget - Detailed'!N692+'MCS Budget - Detailed'!N689</f>
        <v>7686</v>
      </c>
      <c r="E76" s="290"/>
      <c r="F76" s="289">
        <v>0</v>
      </c>
      <c r="G76" s="290"/>
      <c r="H76" s="289">
        <v>0</v>
      </c>
      <c r="I76" s="290"/>
      <c r="J76" s="289">
        <v>0</v>
      </c>
      <c r="K76" s="290"/>
      <c r="L76" s="289"/>
      <c r="M76" s="290"/>
      <c r="N76" s="289">
        <v>0</v>
      </c>
      <c r="O76" s="290"/>
      <c r="P76" s="289">
        <v>0</v>
      </c>
      <c r="Q76" s="290"/>
      <c r="R76" s="289">
        <v>0</v>
      </c>
      <c r="S76" s="290"/>
      <c r="T76" s="289">
        <v>0</v>
      </c>
      <c r="U76" s="290"/>
      <c r="V76" s="289">
        <v>0</v>
      </c>
      <c r="W76" s="290"/>
      <c r="X76" s="289">
        <v>0</v>
      </c>
      <c r="Y76" s="290"/>
      <c r="Z76" s="290"/>
      <c r="AA76" s="289">
        <v>0</v>
      </c>
      <c r="AB76" s="290"/>
      <c r="AC76" s="289">
        <v>0</v>
      </c>
      <c r="AD76" s="290"/>
      <c r="AE76" s="289">
        <v>0</v>
      </c>
      <c r="AF76" s="290"/>
      <c r="AG76" s="289">
        <v>0</v>
      </c>
      <c r="AH76" s="290"/>
      <c r="AI76" s="289">
        <v>0</v>
      </c>
      <c r="AJ76" s="290"/>
      <c r="AK76" s="289">
        <v>0</v>
      </c>
      <c r="AL76" s="290"/>
      <c r="AM76" s="289">
        <v>0</v>
      </c>
      <c r="AN76" s="290"/>
      <c r="AO76" s="289">
        <v>0</v>
      </c>
      <c r="AP76" s="290"/>
      <c r="AQ76" s="289">
        <v>0</v>
      </c>
      <c r="AR76" s="290"/>
      <c r="AS76" s="289">
        <v>0</v>
      </c>
      <c r="AT76" s="290"/>
      <c r="AU76" s="290"/>
      <c r="AV76" s="289">
        <v>0</v>
      </c>
      <c r="AW76" s="290"/>
      <c r="AX76" s="289">
        <v>0</v>
      </c>
      <c r="AY76" s="290"/>
      <c r="AZ76" s="289">
        <v>0</v>
      </c>
      <c r="BA76" s="290"/>
      <c r="BB76" s="289">
        <v>0</v>
      </c>
      <c r="BC76" s="290"/>
      <c r="BD76" s="289">
        <v>0</v>
      </c>
      <c r="BE76" s="290"/>
      <c r="BF76" s="289">
        <v>0</v>
      </c>
      <c r="BG76" s="290"/>
      <c r="BH76" s="289">
        <v>0</v>
      </c>
      <c r="BI76" s="291"/>
      <c r="BJ76" s="292">
        <f t="shared" si="3"/>
        <v>7686</v>
      </c>
      <c r="BK76" s="298"/>
      <c r="BL76" s="299"/>
      <c r="BM76" s="299"/>
      <c r="BN76" s="300"/>
    </row>
    <row r="77" spans="1:66" s="301" customFormat="1" ht="18.75" thickBot="1" x14ac:dyDescent="0.3">
      <c r="A77" s="268" t="s">
        <v>751</v>
      </c>
      <c r="B77" s="317" t="s">
        <v>506</v>
      </c>
      <c r="C77" s="298"/>
      <c r="D77" s="289">
        <v>0</v>
      </c>
      <c r="E77" s="290"/>
      <c r="F77" s="289">
        <v>0</v>
      </c>
      <c r="G77" s="290"/>
      <c r="H77" s="289"/>
      <c r="I77" s="290"/>
      <c r="J77" s="289">
        <v>0</v>
      </c>
      <c r="K77" s="290"/>
      <c r="L77" s="289"/>
      <c r="M77" s="290"/>
      <c r="N77" s="289">
        <v>0</v>
      </c>
      <c r="O77" s="290"/>
      <c r="P77" s="289"/>
      <c r="Q77" s="290"/>
      <c r="R77" s="289">
        <v>0</v>
      </c>
      <c r="S77" s="290"/>
      <c r="T77" s="289"/>
      <c r="U77" s="290"/>
      <c r="V77" s="289"/>
      <c r="W77" s="290"/>
      <c r="X77" s="289"/>
      <c r="Y77" s="290"/>
      <c r="Z77" s="290"/>
      <c r="AA77" s="289"/>
      <c r="AB77" s="290"/>
      <c r="AC77" s="289">
        <v>0</v>
      </c>
      <c r="AD77" s="290"/>
      <c r="AE77" s="289"/>
      <c r="AF77" s="290"/>
      <c r="AG77" s="289">
        <v>0</v>
      </c>
      <c r="AH77" s="290"/>
      <c r="AI77" s="289"/>
      <c r="AJ77" s="290"/>
      <c r="AK77" s="289">
        <v>0</v>
      </c>
      <c r="AL77" s="290"/>
      <c r="AM77" s="289"/>
      <c r="AN77" s="290"/>
      <c r="AO77" s="289"/>
      <c r="AP77" s="290"/>
      <c r="AQ77" s="289"/>
      <c r="AR77" s="290"/>
      <c r="AS77" s="289"/>
      <c r="AT77" s="290"/>
      <c r="AU77" s="290"/>
      <c r="AV77" s="289"/>
      <c r="AW77" s="290"/>
      <c r="AX77" s="289"/>
      <c r="AY77" s="290"/>
      <c r="AZ77" s="289"/>
      <c r="BA77" s="290"/>
      <c r="BB77" s="289"/>
      <c r="BC77" s="290"/>
      <c r="BD77" s="289">
        <v>0</v>
      </c>
      <c r="BE77" s="290"/>
      <c r="BF77" s="289"/>
      <c r="BG77" s="290"/>
      <c r="BH77" s="289"/>
      <c r="BI77" s="291"/>
      <c r="BJ77" s="292">
        <f t="shared" si="3"/>
        <v>0</v>
      </c>
      <c r="BK77" s="298"/>
      <c r="BL77" s="299"/>
      <c r="BM77" s="299"/>
      <c r="BN77" s="300"/>
    </row>
    <row r="78" spans="1:66" s="301" customFormat="1" ht="18.75" thickBot="1" x14ac:dyDescent="0.3">
      <c r="A78" s="303" t="s">
        <v>708</v>
      </c>
      <c r="B78" s="312"/>
      <c r="C78" s="307"/>
      <c r="D78" s="306">
        <f>SUM(D69:D77)</f>
        <v>280290</v>
      </c>
      <c r="E78" s="307"/>
      <c r="F78" s="306">
        <f>SUM(F69:F77)</f>
        <v>215000</v>
      </c>
      <c r="G78" s="307"/>
      <c r="H78" s="306">
        <f>SUM(H69:H76)</f>
        <v>0</v>
      </c>
      <c r="I78" s="307"/>
      <c r="J78" s="306">
        <f>SUM(J69:J77)</f>
        <v>8338</v>
      </c>
      <c r="K78" s="307"/>
      <c r="L78" s="306">
        <f>SUM(L69:L76)</f>
        <v>0</v>
      </c>
      <c r="M78" s="307"/>
      <c r="N78" s="306">
        <f>SUM(N69:N77)</f>
        <v>0</v>
      </c>
      <c r="O78" s="307"/>
      <c r="P78" s="306">
        <f>SUM(P69:P76)</f>
        <v>0</v>
      </c>
      <c r="Q78" s="307"/>
      <c r="R78" s="306">
        <f>SUM(R69:R77)</f>
        <v>0</v>
      </c>
      <c r="S78" s="307"/>
      <c r="T78" s="306">
        <f>SUM(T69:T76)</f>
        <v>0</v>
      </c>
      <c r="U78" s="307"/>
      <c r="V78" s="306">
        <f>SUM(V69:V76)</f>
        <v>0</v>
      </c>
      <c r="W78" s="307"/>
      <c r="X78" s="306">
        <f>SUM(X69:X76)</f>
        <v>0</v>
      </c>
      <c r="Y78" s="307"/>
      <c r="Z78" s="307"/>
      <c r="AA78" s="306">
        <f>SUM(AA69:AA76)</f>
        <v>0</v>
      </c>
      <c r="AB78" s="307"/>
      <c r="AC78" s="306">
        <f>SUM(AC69:AC77)</f>
        <v>0</v>
      </c>
      <c r="AD78" s="307"/>
      <c r="AE78" s="306">
        <f>SUM(AE69:AE76)</f>
        <v>0</v>
      </c>
      <c r="AF78" s="307"/>
      <c r="AG78" s="306">
        <f>SUM(AG69:AG77)</f>
        <v>0</v>
      </c>
      <c r="AH78" s="307"/>
      <c r="AI78" s="306">
        <f>SUM(AI69:AI76)</f>
        <v>0</v>
      </c>
      <c r="AJ78" s="307"/>
      <c r="AK78" s="306">
        <f>SUM(AK69:AK77)</f>
        <v>0</v>
      </c>
      <c r="AL78" s="307"/>
      <c r="AM78" s="306">
        <f>SUM(AM69:AM76)</f>
        <v>0</v>
      </c>
      <c r="AN78" s="307"/>
      <c r="AO78" s="306">
        <f>SUM(AO69:AO76)</f>
        <v>0</v>
      </c>
      <c r="AP78" s="307"/>
      <c r="AQ78" s="306">
        <f>SUM(AQ69:AQ76)</f>
        <v>0</v>
      </c>
      <c r="AR78" s="307"/>
      <c r="AS78" s="306">
        <f>SUM(AS69:AS76)</f>
        <v>0</v>
      </c>
      <c r="AT78" s="307"/>
      <c r="AU78" s="307"/>
      <c r="AV78" s="306">
        <f>SUM(AV69:AV76)</f>
        <v>0</v>
      </c>
      <c r="AW78" s="307"/>
      <c r="AX78" s="306">
        <f>SUM(AX69:AX76)</f>
        <v>0</v>
      </c>
      <c r="AY78" s="307"/>
      <c r="AZ78" s="306">
        <f>SUM(AZ69:AZ76)</f>
        <v>0</v>
      </c>
      <c r="BA78" s="307"/>
      <c r="BB78" s="306">
        <f>SUM(BB69:BB76)</f>
        <v>0</v>
      </c>
      <c r="BC78" s="307"/>
      <c r="BD78" s="306">
        <f>SUM(BD69:BD77)</f>
        <v>0</v>
      </c>
      <c r="BE78" s="307"/>
      <c r="BF78" s="306">
        <f>SUM(BF69:BF76)</f>
        <v>0</v>
      </c>
      <c r="BG78" s="307"/>
      <c r="BH78" s="306">
        <f>SUM(BH69:BH76)</f>
        <v>0</v>
      </c>
      <c r="BI78" s="307"/>
      <c r="BJ78" s="306">
        <f>D78+F78+H78+J78+X78+N78+P78+R78+T78+V78+AA78+AC78+AG78+AI78+AK78+AM78+AO78+AQ78+AS78+AV78+AX78+AZ78+BB78+BD78+BH78+BF78+AE78</f>
        <v>503628</v>
      </c>
      <c r="BK78" s="307"/>
      <c r="BL78" s="308"/>
      <c r="BM78" s="308"/>
      <c r="BN78" s="300"/>
    </row>
    <row r="79" spans="1:66" s="301" customFormat="1" ht="18" x14ac:dyDescent="0.25">
      <c r="A79" s="268"/>
      <c r="B79" s="294"/>
      <c r="C79" s="298"/>
      <c r="D79" s="292"/>
      <c r="E79" s="291"/>
      <c r="F79" s="292"/>
      <c r="G79" s="291"/>
      <c r="H79" s="292"/>
      <c r="I79" s="291"/>
      <c r="J79" s="292"/>
      <c r="K79" s="291"/>
      <c r="L79" s="309"/>
      <c r="M79" s="291"/>
      <c r="N79" s="292"/>
      <c r="O79" s="291"/>
      <c r="P79" s="292"/>
      <c r="Q79" s="291"/>
      <c r="R79" s="292"/>
      <c r="S79" s="291"/>
      <c r="T79" s="292"/>
      <c r="U79" s="291"/>
      <c r="V79" s="292"/>
      <c r="W79" s="291"/>
      <c r="X79" s="292"/>
      <c r="Y79" s="291"/>
      <c r="Z79" s="291"/>
      <c r="AA79" s="292"/>
      <c r="AB79" s="291"/>
      <c r="AC79" s="292"/>
      <c r="AD79" s="291"/>
      <c r="AE79" s="292"/>
      <c r="AF79" s="291"/>
      <c r="AG79" s="292"/>
      <c r="AH79" s="291"/>
      <c r="AI79" s="292"/>
      <c r="AJ79" s="291"/>
      <c r="AK79" s="292"/>
      <c r="AL79" s="291"/>
      <c r="AM79" s="292"/>
      <c r="AN79" s="291"/>
      <c r="AO79" s="292"/>
      <c r="AP79" s="291"/>
      <c r="AQ79" s="292"/>
      <c r="AR79" s="291"/>
      <c r="AS79" s="292"/>
      <c r="AT79" s="291"/>
      <c r="AU79" s="291"/>
      <c r="AV79" s="292"/>
      <c r="AW79" s="291"/>
      <c r="AX79" s="292"/>
      <c r="AY79" s="291"/>
      <c r="AZ79" s="292"/>
      <c r="BA79" s="291"/>
      <c r="BB79" s="292"/>
      <c r="BC79" s="291"/>
      <c r="BD79" s="292"/>
      <c r="BE79" s="291"/>
      <c r="BF79" s="292"/>
      <c r="BG79" s="291"/>
      <c r="BH79" s="292"/>
      <c r="BI79" s="291"/>
      <c r="BJ79" s="300"/>
      <c r="BK79" s="298"/>
      <c r="BL79" s="299"/>
      <c r="BM79" s="299"/>
      <c r="BN79" s="300"/>
    </row>
    <row r="80" spans="1:66" s="301" customFormat="1" ht="18" x14ac:dyDescent="0.25">
      <c r="A80" s="268" t="s">
        <v>709</v>
      </c>
      <c r="B80" s="294"/>
      <c r="C80" s="298"/>
      <c r="D80" s="292"/>
      <c r="E80" s="291"/>
      <c r="F80" s="292"/>
      <c r="G80" s="291"/>
      <c r="H80" s="292"/>
      <c r="I80" s="291"/>
      <c r="J80" s="292"/>
      <c r="K80" s="291"/>
      <c r="L80" s="309"/>
      <c r="M80" s="291"/>
      <c r="N80" s="292"/>
      <c r="O80" s="291"/>
      <c r="P80" s="292"/>
      <c r="Q80" s="291"/>
      <c r="R80" s="292"/>
      <c r="S80" s="291"/>
      <c r="T80" s="292"/>
      <c r="U80" s="291"/>
      <c r="V80" s="292"/>
      <c r="W80" s="291"/>
      <c r="X80" s="292"/>
      <c r="Y80" s="291"/>
      <c r="Z80" s="291"/>
      <c r="AA80" s="292"/>
      <c r="AB80" s="291"/>
      <c r="AC80" s="292"/>
      <c r="AD80" s="291"/>
      <c r="AE80" s="292"/>
      <c r="AF80" s="291"/>
      <c r="AG80" s="292"/>
      <c r="AH80" s="291"/>
      <c r="AI80" s="292"/>
      <c r="AJ80" s="291"/>
      <c r="AK80" s="292"/>
      <c r="AL80" s="291"/>
      <c r="AM80" s="292"/>
      <c r="AN80" s="291"/>
      <c r="AO80" s="292"/>
      <c r="AP80" s="291"/>
      <c r="AQ80" s="292"/>
      <c r="AR80" s="291"/>
      <c r="AS80" s="292"/>
      <c r="AT80" s="291"/>
      <c r="AU80" s="291"/>
      <c r="AV80" s="292"/>
      <c r="AW80" s="291"/>
      <c r="AX80" s="292"/>
      <c r="AY80" s="291"/>
      <c r="AZ80" s="292"/>
      <c r="BA80" s="291"/>
      <c r="BB80" s="292"/>
      <c r="BC80" s="291"/>
      <c r="BD80" s="292"/>
      <c r="BE80" s="291"/>
      <c r="BF80" s="292"/>
      <c r="BG80" s="291"/>
      <c r="BH80" s="292"/>
      <c r="BI80" s="291"/>
      <c r="BJ80" s="300"/>
      <c r="BK80" s="298"/>
      <c r="BL80" s="299"/>
      <c r="BM80" s="299"/>
      <c r="BN80" s="300"/>
    </row>
    <row r="81" spans="1:66" s="301" customFormat="1" ht="18" x14ac:dyDescent="0.25">
      <c r="A81" s="268" t="s">
        <v>690</v>
      </c>
      <c r="B81" s="317" t="s">
        <v>691</v>
      </c>
      <c r="C81" s="298"/>
      <c r="D81" s="289">
        <f>'MCS Budget - Detailed'!N503+'MCS Budget - Detailed'!N505+'MCS Budget - Detailed'!N506+'MCS Budget - Detailed'!N504</f>
        <v>101801</v>
      </c>
      <c r="E81" s="290"/>
      <c r="F81" s="289">
        <f>SUM('CCS Budget - Detailed'!H250+'CCS Budget - Detailed'!H251+'CCS Budget - Detailed'!H253)</f>
        <v>108614</v>
      </c>
      <c r="G81" s="290"/>
      <c r="H81" s="289">
        <v>0</v>
      </c>
      <c r="I81" s="290"/>
      <c r="J81" s="289">
        <v>0</v>
      </c>
      <c r="K81" s="290"/>
      <c r="L81" s="289"/>
      <c r="M81" s="290"/>
      <c r="N81" s="289">
        <v>0</v>
      </c>
      <c r="O81" s="290"/>
      <c r="P81" s="289">
        <v>0</v>
      </c>
      <c r="Q81" s="290"/>
      <c r="R81" s="289">
        <v>0</v>
      </c>
      <c r="S81" s="290"/>
      <c r="T81" s="289">
        <v>0</v>
      </c>
      <c r="U81" s="290"/>
      <c r="V81" s="289">
        <v>0</v>
      </c>
      <c r="W81" s="290"/>
      <c r="X81" s="289">
        <v>0</v>
      </c>
      <c r="Y81" s="290"/>
      <c r="Z81" s="290"/>
      <c r="AA81" s="289">
        <v>0</v>
      </c>
      <c r="AB81" s="290"/>
      <c r="AC81" s="289">
        <v>0</v>
      </c>
      <c r="AD81" s="290"/>
      <c r="AE81" s="289">
        <v>0</v>
      </c>
      <c r="AF81" s="290"/>
      <c r="AG81" s="289">
        <v>0</v>
      </c>
      <c r="AH81" s="290"/>
      <c r="AI81" s="289">
        <v>0</v>
      </c>
      <c r="AJ81" s="290"/>
      <c r="AK81" s="289">
        <v>0</v>
      </c>
      <c r="AL81" s="290"/>
      <c r="AM81" s="289">
        <v>0</v>
      </c>
      <c r="AN81" s="290"/>
      <c r="AO81" s="289">
        <v>0</v>
      </c>
      <c r="AP81" s="290"/>
      <c r="AQ81" s="289">
        <v>0</v>
      </c>
      <c r="AR81" s="290"/>
      <c r="AS81" s="289">
        <v>0</v>
      </c>
      <c r="AT81" s="290"/>
      <c r="AU81" s="290"/>
      <c r="AV81" s="289">
        <v>0</v>
      </c>
      <c r="AW81" s="290"/>
      <c r="AX81" s="289">
        <v>0</v>
      </c>
      <c r="AY81" s="290"/>
      <c r="AZ81" s="289">
        <v>0</v>
      </c>
      <c r="BA81" s="290"/>
      <c r="BB81" s="289">
        <v>0</v>
      </c>
      <c r="BC81" s="290"/>
      <c r="BD81" s="289">
        <v>0</v>
      </c>
      <c r="BE81" s="290"/>
      <c r="BF81" s="289">
        <v>0</v>
      </c>
      <c r="BG81" s="290"/>
      <c r="BH81" s="289">
        <v>0</v>
      </c>
      <c r="BI81" s="291"/>
      <c r="BJ81" s="292">
        <f t="shared" ref="BJ81:BJ89" si="4">D81+F81+H81+J81+X81+N81+P81+R81+T81+V81+AA81+AC81+AG81+AI81+AK81+AM81+AO81+AQ81+AS81+AV81+AX81+AZ81+BB81+BD81+BH81+BF81+AE81</f>
        <v>210415</v>
      </c>
      <c r="BK81" s="298"/>
      <c r="BL81" s="299"/>
      <c r="BM81" s="299"/>
      <c r="BN81" s="300"/>
    </row>
    <row r="82" spans="1:66" s="301" customFormat="1" ht="18" x14ac:dyDescent="0.25">
      <c r="A82" s="268" t="s">
        <v>692</v>
      </c>
      <c r="B82" s="317" t="s">
        <v>693</v>
      </c>
      <c r="C82" s="298"/>
      <c r="D82" s="289">
        <f>'MCS Budget - Detailed'!N507+'MCS Budget - Detailed'!N509+'MCS Budget - Detailed'!N510+'MCS Budget - Detailed'!N512+'MCS Budget - Detailed'!N513+'MCS Budget - Detailed'!N515+'MCS Budget - Detailed'!N516+'MCS Budget - Detailed'!N518+'MCS Budget - Detailed'!N519+'MCS Budget - Detailed'!N521+'MCS Budget - Detailed'!N508+'MCS Budget - Detailed'!N511+'MCS Budget - Detailed'!N514+'MCS Budget - Detailed'!N517+'MCS Budget - Detailed'!N520+'MCS Budget - Detailed'!N522+'MCS Budget - Detailed'!N523+'MCS Budget - Detailed'!N524</f>
        <v>39372</v>
      </c>
      <c r="E82" s="290"/>
      <c r="F82" s="289">
        <f>SUM('CCS Budget - Detailed'!H258+'CCS Budget - Detailed'!H259+'CCS Budget - Detailed'!H261+'CCS Budget - Detailed'!H262+'CCS Budget - Detailed'!H263+'CCS Budget - Detailed'!H265+'CCS Budget - Detailed'!H266+'CCS Budget - Detailed'!H267+'CCS Budget - Detailed'!H254+'CCS Budget - Detailed'!H255+'CCS Budget - Detailed'!H257)</f>
        <v>36400</v>
      </c>
      <c r="G82" s="290"/>
      <c r="H82" s="289">
        <v>0</v>
      </c>
      <c r="I82" s="290"/>
      <c r="J82" s="289">
        <v>0</v>
      </c>
      <c r="K82" s="290"/>
      <c r="L82" s="289"/>
      <c r="M82" s="290"/>
      <c r="N82" s="289">
        <v>0</v>
      </c>
      <c r="O82" s="290"/>
      <c r="P82" s="289">
        <v>0</v>
      </c>
      <c r="Q82" s="290"/>
      <c r="R82" s="289">
        <v>0</v>
      </c>
      <c r="S82" s="290"/>
      <c r="T82" s="289">
        <v>0</v>
      </c>
      <c r="U82" s="290"/>
      <c r="V82" s="289">
        <v>0</v>
      </c>
      <c r="W82" s="290"/>
      <c r="X82" s="289">
        <v>0</v>
      </c>
      <c r="Y82" s="290"/>
      <c r="Z82" s="290"/>
      <c r="AA82" s="289">
        <v>0</v>
      </c>
      <c r="AB82" s="290"/>
      <c r="AC82" s="289">
        <v>0</v>
      </c>
      <c r="AD82" s="290"/>
      <c r="AE82" s="289">
        <v>0</v>
      </c>
      <c r="AF82" s="290"/>
      <c r="AG82" s="289">
        <v>0</v>
      </c>
      <c r="AH82" s="290"/>
      <c r="AI82" s="289">
        <v>0</v>
      </c>
      <c r="AJ82" s="290"/>
      <c r="AK82" s="289">
        <v>0</v>
      </c>
      <c r="AL82" s="290"/>
      <c r="AM82" s="289">
        <v>0</v>
      </c>
      <c r="AN82" s="290"/>
      <c r="AO82" s="289">
        <v>0</v>
      </c>
      <c r="AP82" s="290"/>
      <c r="AQ82" s="289">
        <v>0</v>
      </c>
      <c r="AR82" s="290"/>
      <c r="AS82" s="289">
        <v>0</v>
      </c>
      <c r="AT82" s="290"/>
      <c r="AU82" s="290"/>
      <c r="AV82" s="289">
        <v>0</v>
      </c>
      <c r="AW82" s="290"/>
      <c r="AX82" s="289">
        <v>0</v>
      </c>
      <c r="AY82" s="290"/>
      <c r="AZ82" s="289">
        <v>0</v>
      </c>
      <c r="BA82" s="290"/>
      <c r="BB82" s="289">
        <v>0</v>
      </c>
      <c r="BC82" s="290"/>
      <c r="BD82" s="289">
        <v>0</v>
      </c>
      <c r="BE82" s="290"/>
      <c r="BF82" s="289">
        <v>0</v>
      </c>
      <c r="BG82" s="290"/>
      <c r="BH82" s="289">
        <v>0</v>
      </c>
      <c r="BI82" s="291"/>
      <c r="BJ82" s="292">
        <f t="shared" si="4"/>
        <v>75772</v>
      </c>
      <c r="BK82" s="298"/>
      <c r="BL82" s="299"/>
      <c r="BM82" s="299"/>
      <c r="BN82" s="300"/>
    </row>
    <row r="83" spans="1:66" s="301" customFormat="1" ht="18" x14ac:dyDescent="0.25">
      <c r="A83" s="268" t="s">
        <v>694</v>
      </c>
      <c r="B83" s="317" t="s">
        <v>482</v>
      </c>
      <c r="C83" s="298"/>
      <c r="D83" s="289">
        <f>'MCS Budget - Detailed'!N525+'MCS Budget - Detailed'!N526</f>
        <v>11500</v>
      </c>
      <c r="E83" s="290"/>
      <c r="F83" s="289">
        <f>SUM('CCS Budget - Detailed'!H270+'CCS Budget - Detailed'!H271+'CCS Budget - Detailed'!H281+'CCS Budget - Detailed'!H282+'CCS Budget - Detailed'!H283)</f>
        <v>27300</v>
      </c>
      <c r="G83" s="290"/>
      <c r="H83" s="289">
        <v>0</v>
      </c>
      <c r="I83" s="290"/>
      <c r="J83" s="289">
        <v>0</v>
      </c>
      <c r="K83" s="290"/>
      <c r="L83" s="289"/>
      <c r="M83" s="290"/>
      <c r="N83" s="289">
        <v>0</v>
      </c>
      <c r="O83" s="290"/>
      <c r="P83" s="289">
        <v>0</v>
      </c>
      <c r="Q83" s="290"/>
      <c r="R83" s="289">
        <v>0</v>
      </c>
      <c r="S83" s="290"/>
      <c r="T83" s="289">
        <v>0</v>
      </c>
      <c r="U83" s="290"/>
      <c r="V83" s="289">
        <v>0</v>
      </c>
      <c r="W83" s="290"/>
      <c r="X83" s="289">
        <v>0</v>
      </c>
      <c r="Y83" s="290"/>
      <c r="Z83" s="290"/>
      <c r="AA83" s="289">
        <v>0</v>
      </c>
      <c r="AB83" s="290"/>
      <c r="AC83" s="289">
        <v>0</v>
      </c>
      <c r="AD83" s="290"/>
      <c r="AE83" s="289">
        <v>0</v>
      </c>
      <c r="AF83" s="290"/>
      <c r="AG83" s="289">
        <v>0</v>
      </c>
      <c r="AH83" s="290"/>
      <c r="AI83" s="289">
        <v>0</v>
      </c>
      <c r="AJ83" s="290"/>
      <c r="AK83" s="289">
        <v>0</v>
      </c>
      <c r="AL83" s="290"/>
      <c r="AM83" s="289">
        <v>0</v>
      </c>
      <c r="AN83" s="290"/>
      <c r="AO83" s="289">
        <v>0</v>
      </c>
      <c r="AP83" s="290"/>
      <c r="AQ83" s="289">
        <v>0</v>
      </c>
      <c r="AR83" s="290"/>
      <c r="AS83" s="289">
        <v>0</v>
      </c>
      <c r="AT83" s="290"/>
      <c r="AU83" s="290"/>
      <c r="AV83" s="289">
        <v>0</v>
      </c>
      <c r="AW83" s="290"/>
      <c r="AX83" s="289">
        <v>0</v>
      </c>
      <c r="AY83" s="290"/>
      <c r="AZ83" s="289">
        <v>0</v>
      </c>
      <c r="BA83" s="290"/>
      <c r="BB83" s="289">
        <v>0</v>
      </c>
      <c r="BC83" s="290"/>
      <c r="BD83" s="289">
        <v>0</v>
      </c>
      <c r="BE83" s="290"/>
      <c r="BF83" s="289">
        <v>0</v>
      </c>
      <c r="BG83" s="290"/>
      <c r="BH83" s="289">
        <v>0</v>
      </c>
      <c r="BI83" s="291"/>
      <c r="BJ83" s="292">
        <f t="shared" si="4"/>
        <v>38800</v>
      </c>
      <c r="BK83" s="298"/>
      <c r="BL83" s="299"/>
      <c r="BM83" s="299"/>
      <c r="BN83" s="300"/>
    </row>
    <row r="84" spans="1:66" s="301" customFormat="1" ht="18" x14ac:dyDescent="0.25">
      <c r="A84" s="268" t="s">
        <v>749</v>
      </c>
      <c r="B84" s="317" t="s">
        <v>695</v>
      </c>
      <c r="C84" s="298"/>
      <c r="D84" s="289">
        <v>0</v>
      </c>
      <c r="E84" s="290"/>
      <c r="F84" s="289">
        <v>0</v>
      </c>
      <c r="G84" s="290"/>
      <c r="H84" s="289"/>
      <c r="I84" s="290"/>
      <c r="J84" s="289">
        <v>0</v>
      </c>
      <c r="K84" s="290"/>
      <c r="L84" s="289"/>
      <c r="M84" s="290"/>
      <c r="N84" s="289">
        <v>0</v>
      </c>
      <c r="O84" s="290"/>
      <c r="P84" s="289"/>
      <c r="Q84" s="290"/>
      <c r="R84" s="289">
        <v>0</v>
      </c>
      <c r="S84" s="290"/>
      <c r="T84" s="289"/>
      <c r="U84" s="290"/>
      <c r="V84" s="289"/>
      <c r="W84" s="290"/>
      <c r="X84" s="289"/>
      <c r="Y84" s="290"/>
      <c r="Z84" s="290"/>
      <c r="AA84" s="289"/>
      <c r="AB84" s="290"/>
      <c r="AC84" s="289">
        <v>0</v>
      </c>
      <c r="AD84" s="290"/>
      <c r="AE84" s="289"/>
      <c r="AF84" s="290"/>
      <c r="AG84" s="289">
        <v>0</v>
      </c>
      <c r="AH84" s="290"/>
      <c r="AI84" s="289"/>
      <c r="AJ84" s="290"/>
      <c r="AK84" s="289">
        <v>0</v>
      </c>
      <c r="AL84" s="290"/>
      <c r="AM84" s="289"/>
      <c r="AN84" s="290"/>
      <c r="AO84" s="289"/>
      <c r="AP84" s="290"/>
      <c r="AQ84" s="289"/>
      <c r="AR84" s="290"/>
      <c r="AS84" s="289"/>
      <c r="AT84" s="290"/>
      <c r="AU84" s="290"/>
      <c r="AV84" s="289"/>
      <c r="AW84" s="290"/>
      <c r="AX84" s="289"/>
      <c r="AY84" s="290"/>
      <c r="AZ84" s="289"/>
      <c r="BA84" s="290"/>
      <c r="BB84" s="289"/>
      <c r="BC84" s="290"/>
      <c r="BD84" s="289">
        <v>0</v>
      </c>
      <c r="BE84" s="290"/>
      <c r="BF84" s="289"/>
      <c r="BG84" s="290"/>
      <c r="BH84" s="289"/>
      <c r="BI84" s="291"/>
      <c r="BJ84" s="292">
        <f t="shared" si="4"/>
        <v>0</v>
      </c>
      <c r="BK84" s="298"/>
      <c r="BL84" s="299"/>
      <c r="BM84" s="299"/>
      <c r="BN84" s="300"/>
    </row>
    <row r="85" spans="1:66" s="301" customFormat="1" ht="18" x14ac:dyDescent="0.25">
      <c r="A85" s="268" t="s">
        <v>750</v>
      </c>
      <c r="B85" s="317" t="s">
        <v>696</v>
      </c>
      <c r="C85" s="298"/>
      <c r="D85" s="289">
        <f>'MCS Budget - Detailed'!N527+'MCS Budget - Detailed'!N528+'MCS Budget - Detailed'!N529</f>
        <v>5500</v>
      </c>
      <c r="E85" s="290"/>
      <c r="F85" s="289">
        <f>SUM('CCS Budget - Detailed'!H272+'CCS Budget - Detailed'!H273+'CCS Budget - Detailed'!H274+'CCS Budget - Detailed'!H275+'CCS Budget - Detailed'!H284+'CCS Budget - Detailed'!H285)</f>
        <v>25200</v>
      </c>
      <c r="G85" s="290"/>
      <c r="H85" s="289"/>
      <c r="I85" s="290"/>
      <c r="J85" s="289">
        <v>0</v>
      </c>
      <c r="K85" s="290"/>
      <c r="L85" s="289"/>
      <c r="M85" s="290"/>
      <c r="N85" s="289">
        <v>0</v>
      </c>
      <c r="O85" s="290"/>
      <c r="P85" s="289"/>
      <c r="Q85" s="290"/>
      <c r="R85" s="289">
        <v>0</v>
      </c>
      <c r="S85" s="290"/>
      <c r="T85" s="289"/>
      <c r="U85" s="290"/>
      <c r="V85" s="289"/>
      <c r="W85" s="290"/>
      <c r="X85" s="289"/>
      <c r="Y85" s="290"/>
      <c r="Z85" s="290"/>
      <c r="AA85" s="289"/>
      <c r="AB85" s="290"/>
      <c r="AC85" s="289">
        <v>0</v>
      </c>
      <c r="AD85" s="290"/>
      <c r="AE85" s="289"/>
      <c r="AF85" s="290"/>
      <c r="AG85" s="289">
        <v>0</v>
      </c>
      <c r="AH85" s="290"/>
      <c r="AI85" s="289"/>
      <c r="AJ85" s="290"/>
      <c r="AK85" s="289">
        <v>0</v>
      </c>
      <c r="AL85" s="290"/>
      <c r="AM85" s="289"/>
      <c r="AN85" s="290"/>
      <c r="AO85" s="289"/>
      <c r="AP85" s="290"/>
      <c r="AQ85" s="289"/>
      <c r="AR85" s="290"/>
      <c r="AS85" s="289"/>
      <c r="AT85" s="290"/>
      <c r="AU85" s="290"/>
      <c r="AV85" s="289"/>
      <c r="AW85" s="290"/>
      <c r="AX85" s="289"/>
      <c r="AY85" s="290"/>
      <c r="AZ85" s="289"/>
      <c r="BA85" s="290"/>
      <c r="BB85" s="289"/>
      <c r="BC85" s="290"/>
      <c r="BD85" s="289">
        <v>0</v>
      </c>
      <c r="BE85" s="290"/>
      <c r="BF85" s="289"/>
      <c r="BG85" s="290"/>
      <c r="BH85" s="289"/>
      <c r="BI85" s="291"/>
      <c r="BJ85" s="292">
        <f t="shared" si="4"/>
        <v>30700</v>
      </c>
      <c r="BK85" s="298"/>
      <c r="BL85" s="299"/>
      <c r="BM85" s="299"/>
      <c r="BN85" s="300"/>
    </row>
    <row r="86" spans="1:66" s="301" customFormat="1" ht="18" x14ac:dyDescent="0.25">
      <c r="A86" s="268" t="s">
        <v>697</v>
      </c>
      <c r="B86" s="317" t="s">
        <v>624</v>
      </c>
      <c r="C86" s="298"/>
      <c r="D86" s="289">
        <f>'MCS Budget - Detailed'!N530+'MCS Budget - Detailed'!N531</f>
        <v>5000</v>
      </c>
      <c r="E86" s="290"/>
      <c r="F86" s="289">
        <f>SUM('CCS Budget - Detailed'!H276)</f>
        <v>4000</v>
      </c>
      <c r="G86" s="290"/>
      <c r="H86" s="289">
        <v>0</v>
      </c>
      <c r="I86" s="290"/>
      <c r="J86" s="289">
        <v>0</v>
      </c>
      <c r="K86" s="290"/>
      <c r="L86" s="289"/>
      <c r="M86" s="290"/>
      <c r="N86" s="289">
        <v>0</v>
      </c>
      <c r="O86" s="290"/>
      <c r="P86" s="289">
        <v>0</v>
      </c>
      <c r="Q86" s="290"/>
      <c r="R86" s="289">
        <v>0</v>
      </c>
      <c r="S86" s="290"/>
      <c r="T86" s="289">
        <v>0</v>
      </c>
      <c r="U86" s="290"/>
      <c r="V86" s="289">
        <v>0</v>
      </c>
      <c r="W86" s="290"/>
      <c r="X86" s="289">
        <v>0</v>
      </c>
      <c r="Y86" s="290"/>
      <c r="Z86" s="290"/>
      <c r="AA86" s="289">
        <v>0</v>
      </c>
      <c r="AB86" s="290"/>
      <c r="AC86" s="289">
        <v>0</v>
      </c>
      <c r="AD86" s="290"/>
      <c r="AE86" s="289">
        <v>0</v>
      </c>
      <c r="AF86" s="290"/>
      <c r="AG86" s="289">
        <v>0</v>
      </c>
      <c r="AH86" s="290"/>
      <c r="AI86" s="289">
        <v>0</v>
      </c>
      <c r="AJ86" s="290"/>
      <c r="AK86" s="289">
        <v>0</v>
      </c>
      <c r="AL86" s="290"/>
      <c r="AM86" s="289">
        <v>0</v>
      </c>
      <c r="AN86" s="290"/>
      <c r="AO86" s="289">
        <v>0</v>
      </c>
      <c r="AP86" s="290"/>
      <c r="AQ86" s="289">
        <v>0</v>
      </c>
      <c r="AR86" s="290"/>
      <c r="AS86" s="289">
        <v>0</v>
      </c>
      <c r="AT86" s="290"/>
      <c r="AU86" s="290"/>
      <c r="AV86" s="289">
        <v>0</v>
      </c>
      <c r="AW86" s="290"/>
      <c r="AX86" s="289">
        <v>0</v>
      </c>
      <c r="AY86" s="290"/>
      <c r="AZ86" s="289">
        <v>0</v>
      </c>
      <c r="BA86" s="290"/>
      <c r="BB86" s="289">
        <v>0</v>
      </c>
      <c r="BC86" s="290"/>
      <c r="BD86" s="289">
        <v>0</v>
      </c>
      <c r="BE86" s="290"/>
      <c r="BF86" s="289">
        <v>0</v>
      </c>
      <c r="BG86" s="290"/>
      <c r="BH86" s="289">
        <v>0</v>
      </c>
      <c r="BI86" s="291"/>
      <c r="BJ86" s="292">
        <f t="shared" si="4"/>
        <v>9000</v>
      </c>
      <c r="BK86" s="298"/>
      <c r="BL86" s="299"/>
      <c r="BM86" s="299"/>
      <c r="BN86" s="300"/>
    </row>
    <row r="87" spans="1:66" s="301" customFormat="1" ht="18" x14ac:dyDescent="0.25">
      <c r="A87" s="268" t="s">
        <v>710</v>
      </c>
      <c r="B87" s="317" t="s">
        <v>492</v>
      </c>
      <c r="C87" s="298"/>
      <c r="D87" s="289">
        <f>'MCS Budget - Detailed'!N532+'MCS Budget - Detailed'!N533</f>
        <v>2000</v>
      </c>
      <c r="E87" s="290"/>
      <c r="F87" s="289">
        <f>'CCS Budget - Detailed'!H277</f>
        <v>0</v>
      </c>
      <c r="G87" s="290"/>
      <c r="H87" s="289">
        <v>0</v>
      </c>
      <c r="I87" s="290"/>
      <c r="J87" s="289">
        <v>0</v>
      </c>
      <c r="K87" s="290"/>
      <c r="L87" s="289"/>
      <c r="M87" s="290"/>
      <c r="N87" s="289">
        <v>0</v>
      </c>
      <c r="O87" s="290"/>
      <c r="P87" s="289">
        <v>0</v>
      </c>
      <c r="Q87" s="290"/>
      <c r="R87" s="289">
        <v>0</v>
      </c>
      <c r="S87" s="290"/>
      <c r="T87" s="289">
        <v>0</v>
      </c>
      <c r="U87" s="290"/>
      <c r="V87" s="289">
        <v>0</v>
      </c>
      <c r="W87" s="290"/>
      <c r="X87" s="289">
        <v>0</v>
      </c>
      <c r="Y87" s="290"/>
      <c r="Z87" s="290"/>
      <c r="AA87" s="289">
        <v>0</v>
      </c>
      <c r="AB87" s="290"/>
      <c r="AC87" s="289">
        <v>0</v>
      </c>
      <c r="AD87" s="290"/>
      <c r="AE87" s="289">
        <v>0</v>
      </c>
      <c r="AF87" s="290"/>
      <c r="AG87" s="289">
        <v>0</v>
      </c>
      <c r="AH87" s="290"/>
      <c r="AI87" s="289">
        <v>0</v>
      </c>
      <c r="AJ87" s="290"/>
      <c r="AK87" s="289">
        <v>0</v>
      </c>
      <c r="AL87" s="290"/>
      <c r="AM87" s="289">
        <v>0</v>
      </c>
      <c r="AN87" s="290"/>
      <c r="AO87" s="289">
        <v>0</v>
      </c>
      <c r="AP87" s="290"/>
      <c r="AQ87" s="289">
        <v>0</v>
      </c>
      <c r="AR87" s="290"/>
      <c r="AS87" s="289">
        <v>0</v>
      </c>
      <c r="AT87" s="290"/>
      <c r="AU87" s="290"/>
      <c r="AV87" s="289">
        <v>0</v>
      </c>
      <c r="AW87" s="290"/>
      <c r="AX87" s="289">
        <v>0</v>
      </c>
      <c r="AY87" s="290"/>
      <c r="AZ87" s="289">
        <v>0</v>
      </c>
      <c r="BA87" s="290"/>
      <c r="BB87" s="289">
        <v>0</v>
      </c>
      <c r="BC87" s="290"/>
      <c r="BD87" s="289">
        <v>0</v>
      </c>
      <c r="BE87" s="290"/>
      <c r="BF87" s="289">
        <v>0</v>
      </c>
      <c r="BG87" s="290"/>
      <c r="BH87" s="289">
        <v>0</v>
      </c>
      <c r="BI87" s="291"/>
      <c r="BJ87" s="292">
        <f t="shared" si="4"/>
        <v>2000</v>
      </c>
      <c r="BK87" s="298"/>
      <c r="BL87" s="299"/>
      <c r="BM87" s="299"/>
      <c r="BN87" s="300"/>
    </row>
    <row r="88" spans="1:66" s="301" customFormat="1" ht="18" x14ac:dyDescent="0.25">
      <c r="A88" s="268" t="s">
        <v>699</v>
      </c>
      <c r="B88" s="317" t="s">
        <v>700</v>
      </c>
      <c r="C88" s="298"/>
      <c r="D88" s="289">
        <f>'MCS Budget - Detailed'!N534</f>
        <v>600</v>
      </c>
      <c r="E88" s="290"/>
      <c r="F88" s="289">
        <f>'CCS Budget - Detailed'!H278</f>
        <v>500</v>
      </c>
      <c r="G88" s="290"/>
      <c r="H88" s="289">
        <v>0</v>
      </c>
      <c r="I88" s="290"/>
      <c r="J88" s="289">
        <v>0</v>
      </c>
      <c r="K88" s="290"/>
      <c r="L88" s="289"/>
      <c r="M88" s="290"/>
      <c r="N88" s="289">
        <v>0</v>
      </c>
      <c r="O88" s="290"/>
      <c r="P88" s="289">
        <v>0</v>
      </c>
      <c r="Q88" s="290"/>
      <c r="R88" s="289">
        <v>0</v>
      </c>
      <c r="S88" s="290"/>
      <c r="T88" s="289">
        <v>0</v>
      </c>
      <c r="U88" s="290"/>
      <c r="V88" s="289">
        <v>0</v>
      </c>
      <c r="W88" s="290"/>
      <c r="X88" s="289">
        <v>0</v>
      </c>
      <c r="Y88" s="290"/>
      <c r="Z88" s="290"/>
      <c r="AA88" s="289">
        <v>0</v>
      </c>
      <c r="AB88" s="290"/>
      <c r="AC88" s="289">
        <v>0</v>
      </c>
      <c r="AD88" s="290"/>
      <c r="AE88" s="289">
        <v>0</v>
      </c>
      <c r="AF88" s="290"/>
      <c r="AG88" s="289">
        <v>0</v>
      </c>
      <c r="AH88" s="290"/>
      <c r="AI88" s="289">
        <v>0</v>
      </c>
      <c r="AJ88" s="290"/>
      <c r="AK88" s="289">
        <v>0</v>
      </c>
      <c r="AL88" s="290"/>
      <c r="AM88" s="289">
        <v>0</v>
      </c>
      <c r="AN88" s="290"/>
      <c r="AO88" s="289">
        <v>0</v>
      </c>
      <c r="AP88" s="290"/>
      <c r="AQ88" s="289">
        <v>0</v>
      </c>
      <c r="AR88" s="290"/>
      <c r="AS88" s="289">
        <v>0</v>
      </c>
      <c r="AT88" s="290"/>
      <c r="AU88" s="290"/>
      <c r="AV88" s="289">
        <v>0</v>
      </c>
      <c r="AW88" s="290"/>
      <c r="AX88" s="289">
        <v>0</v>
      </c>
      <c r="AY88" s="290"/>
      <c r="AZ88" s="289">
        <v>0</v>
      </c>
      <c r="BA88" s="290"/>
      <c r="BB88" s="289">
        <v>0</v>
      </c>
      <c r="BC88" s="290"/>
      <c r="BD88" s="289">
        <v>0</v>
      </c>
      <c r="BE88" s="290"/>
      <c r="BF88" s="289">
        <v>0</v>
      </c>
      <c r="BG88" s="290"/>
      <c r="BH88" s="289">
        <v>0</v>
      </c>
      <c r="BI88" s="291"/>
      <c r="BJ88" s="292">
        <f t="shared" si="4"/>
        <v>1100</v>
      </c>
      <c r="BK88" s="298"/>
      <c r="BL88" s="299"/>
      <c r="BM88" s="299"/>
      <c r="BN88" s="300"/>
    </row>
    <row r="89" spans="1:66" s="301" customFormat="1" ht="18.75" thickBot="1" x14ac:dyDescent="0.3">
      <c r="A89" s="268" t="s">
        <v>751</v>
      </c>
      <c r="B89" s="317" t="s">
        <v>506</v>
      </c>
      <c r="C89" s="298"/>
      <c r="D89" s="289">
        <v>0</v>
      </c>
      <c r="E89" s="290"/>
      <c r="F89" s="289">
        <v>0</v>
      </c>
      <c r="G89" s="290"/>
      <c r="H89" s="289"/>
      <c r="I89" s="290"/>
      <c r="J89" s="289">
        <v>0</v>
      </c>
      <c r="K89" s="290"/>
      <c r="L89" s="289"/>
      <c r="M89" s="290"/>
      <c r="N89" s="289">
        <v>0</v>
      </c>
      <c r="O89" s="290"/>
      <c r="P89" s="289"/>
      <c r="Q89" s="290"/>
      <c r="R89" s="289">
        <v>0</v>
      </c>
      <c r="S89" s="290"/>
      <c r="T89" s="289"/>
      <c r="U89" s="290"/>
      <c r="V89" s="289"/>
      <c r="W89" s="290"/>
      <c r="X89" s="289"/>
      <c r="Y89" s="290"/>
      <c r="Z89" s="290"/>
      <c r="AA89" s="289"/>
      <c r="AB89" s="290"/>
      <c r="AC89" s="289">
        <v>0</v>
      </c>
      <c r="AD89" s="290"/>
      <c r="AE89" s="289"/>
      <c r="AF89" s="290"/>
      <c r="AG89" s="289">
        <v>0</v>
      </c>
      <c r="AH89" s="290"/>
      <c r="AI89" s="289"/>
      <c r="AJ89" s="290"/>
      <c r="AK89" s="289">
        <v>0</v>
      </c>
      <c r="AL89" s="290"/>
      <c r="AM89" s="289"/>
      <c r="AN89" s="290"/>
      <c r="AO89" s="289"/>
      <c r="AP89" s="290"/>
      <c r="AQ89" s="289"/>
      <c r="AR89" s="290"/>
      <c r="AS89" s="289"/>
      <c r="AT89" s="290"/>
      <c r="AU89" s="290"/>
      <c r="AV89" s="289"/>
      <c r="AW89" s="290"/>
      <c r="AX89" s="289"/>
      <c r="AY89" s="290"/>
      <c r="AZ89" s="289"/>
      <c r="BA89" s="290"/>
      <c r="BB89" s="289"/>
      <c r="BC89" s="290"/>
      <c r="BD89" s="289">
        <v>0</v>
      </c>
      <c r="BE89" s="290"/>
      <c r="BF89" s="289"/>
      <c r="BG89" s="290"/>
      <c r="BH89" s="289"/>
      <c r="BI89" s="291"/>
      <c r="BJ89" s="292">
        <f t="shared" si="4"/>
        <v>0</v>
      </c>
      <c r="BK89" s="298"/>
      <c r="BL89" s="299"/>
      <c r="BM89" s="299"/>
      <c r="BN89" s="300"/>
    </row>
    <row r="90" spans="1:66" s="301" customFormat="1" ht="18.75" thickBot="1" x14ac:dyDescent="0.3">
      <c r="A90" s="303" t="s">
        <v>708</v>
      </c>
      <c r="B90" s="312"/>
      <c r="C90" s="307"/>
      <c r="D90" s="306">
        <f>SUM(D81:D89)</f>
        <v>165773</v>
      </c>
      <c r="E90" s="307"/>
      <c r="F90" s="306">
        <f>SUM(F81:F89)</f>
        <v>202014</v>
      </c>
      <c r="G90" s="307"/>
      <c r="H90" s="306">
        <f>SUM(H81:H88)</f>
        <v>0</v>
      </c>
      <c r="I90" s="307"/>
      <c r="J90" s="306">
        <f>SUM(J81:J89)</f>
        <v>0</v>
      </c>
      <c r="K90" s="307"/>
      <c r="L90" s="306">
        <f>SUM(L81:L88)</f>
        <v>0</v>
      </c>
      <c r="M90" s="307"/>
      <c r="N90" s="306">
        <f>SUM(N81:N89)</f>
        <v>0</v>
      </c>
      <c r="O90" s="307"/>
      <c r="P90" s="306">
        <f>SUM(P81:P88)</f>
        <v>0</v>
      </c>
      <c r="Q90" s="307"/>
      <c r="R90" s="306">
        <f>SUM(R81:R89)</f>
        <v>0</v>
      </c>
      <c r="S90" s="307"/>
      <c r="T90" s="306">
        <f>SUM(T81:T88)</f>
        <v>0</v>
      </c>
      <c r="U90" s="307"/>
      <c r="V90" s="306">
        <f>SUM(V81:V88)</f>
        <v>0</v>
      </c>
      <c r="W90" s="307"/>
      <c r="X90" s="306">
        <f>SUM(X81:X88)</f>
        <v>0</v>
      </c>
      <c r="Y90" s="307"/>
      <c r="Z90" s="307"/>
      <c r="AA90" s="306">
        <f>SUM(AA81:AA88)</f>
        <v>0</v>
      </c>
      <c r="AB90" s="307"/>
      <c r="AC90" s="306">
        <f>SUM(AC81:AC89)</f>
        <v>0</v>
      </c>
      <c r="AD90" s="307"/>
      <c r="AE90" s="306">
        <f>SUM(AE81:AE88)</f>
        <v>0</v>
      </c>
      <c r="AF90" s="307"/>
      <c r="AG90" s="306">
        <f>SUM(AG81:AG89)</f>
        <v>0</v>
      </c>
      <c r="AH90" s="307"/>
      <c r="AI90" s="306">
        <f>SUM(AI81:AI88)</f>
        <v>0</v>
      </c>
      <c r="AJ90" s="307"/>
      <c r="AK90" s="306">
        <f>SUM(AK81:AK89)</f>
        <v>0</v>
      </c>
      <c r="AL90" s="307"/>
      <c r="AM90" s="306">
        <f>SUM(AM81:AM88)</f>
        <v>0</v>
      </c>
      <c r="AN90" s="307"/>
      <c r="AO90" s="306">
        <f>SUM(AO81:AO88)</f>
        <v>0</v>
      </c>
      <c r="AP90" s="307"/>
      <c r="AQ90" s="306">
        <f>SUM(AQ81:AQ88)</f>
        <v>0</v>
      </c>
      <c r="AR90" s="307"/>
      <c r="AS90" s="306">
        <f>SUM(AS81:AS88)</f>
        <v>0</v>
      </c>
      <c r="AT90" s="307"/>
      <c r="AU90" s="307"/>
      <c r="AV90" s="306">
        <f>SUM(AV81:AV88)</f>
        <v>0</v>
      </c>
      <c r="AW90" s="307"/>
      <c r="AX90" s="306">
        <f>SUM(AX81:AX88)</f>
        <v>0</v>
      </c>
      <c r="AY90" s="307"/>
      <c r="AZ90" s="306">
        <f>SUM(AZ81:AZ88)</f>
        <v>0</v>
      </c>
      <c r="BA90" s="307"/>
      <c r="BB90" s="306">
        <f>SUM(BB81:BB88)</f>
        <v>0</v>
      </c>
      <c r="BC90" s="307"/>
      <c r="BD90" s="306">
        <f>SUM(BD81:BD89)</f>
        <v>0</v>
      </c>
      <c r="BE90" s="307"/>
      <c r="BF90" s="306">
        <f>SUM(BF81:BF88)</f>
        <v>0</v>
      </c>
      <c r="BG90" s="307"/>
      <c r="BH90" s="306">
        <f>SUM(BH81:BH88)</f>
        <v>0</v>
      </c>
      <c r="BI90" s="307"/>
      <c r="BJ90" s="306">
        <f>D90+F90+H90+J90+X90+N90+P90+R90+T90+V90+AA90+AC90+AG90+AI90+AK90+AM90+AO90+AQ90+AS90+AV90+AX90+AZ90+BB90+BD90+BH90+BF90+AE90</f>
        <v>367787</v>
      </c>
      <c r="BK90" s="307"/>
      <c r="BL90" s="308"/>
      <c r="BM90" s="308"/>
      <c r="BN90" s="300"/>
    </row>
    <row r="91" spans="1:66" s="301" customFormat="1" ht="18" x14ac:dyDescent="0.25">
      <c r="A91" s="268"/>
      <c r="B91" s="294"/>
      <c r="C91" s="298"/>
      <c r="D91" s="292"/>
      <c r="E91" s="291"/>
      <c r="F91" s="292"/>
      <c r="G91" s="291"/>
      <c r="H91" s="292"/>
      <c r="I91" s="291"/>
      <c r="J91" s="292"/>
      <c r="K91" s="291"/>
      <c r="L91" s="309"/>
      <c r="M91" s="291"/>
      <c r="N91" s="292"/>
      <c r="O91" s="291"/>
      <c r="P91" s="292"/>
      <c r="Q91" s="291"/>
      <c r="R91" s="292"/>
      <c r="S91" s="291"/>
      <c r="T91" s="292"/>
      <c r="U91" s="291"/>
      <c r="V91" s="292"/>
      <c r="W91" s="291"/>
      <c r="X91" s="292"/>
      <c r="Y91" s="291"/>
      <c r="Z91" s="291"/>
      <c r="AA91" s="292"/>
      <c r="AB91" s="291"/>
      <c r="AC91" s="292"/>
      <c r="AD91" s="291"/>
      <c r="AE91" s="292"/>
      <c r="AF91" s="291"/>
      <c r="AG91" s="292"/>
      <c r="AH91" s="291"/>
      <c r="AI91" s="292"/>
      <c r="AJ91" s="291"/>
      <c r="AK91" s="292"/>
      <c r="AL91" s="291"/>
      <c r="AM91" s="292"/>
      <c r="AN91" s="291"/>
      <c r="AO91" s="292"/>
      <c r="AP91" s="291"/>
      <c r="AQ91" s="292"/>
      <c r="AR91" s="291"/>
      <c r="AS91" s="292"/>
      <c r="AT91" s="291"/>
      <c r="AU91" s="291"/>
      <c r="AV91" s="292"/>
      <c r="AW91" s="291"/>
      <c r="AX91" s="292"/>
      <c r="AY91" s="291"/>
      <c r="AZ91" s="292"/>
      <c r="BA91" s="291"/>
      <c r="BB91" s="292"/>
      <c r="BC91" s="291"/>
      <c r="BD91" s="292"/>
      <c r="BE91" s="291"/>
      <c r="BF91" s="292"/>
      <c r="BG91" s="291"/>
      <c r="BH91" s="292"/>
      <c r="BI91" s="291"/>
      <c r="BJ91" s="300"/>
      <c r="BK91" s="298"/>
      <c r="BL91" s="299"/>
      <c r="BM91" s="299"/>
      <c r="BN91" s="300"/>
    </row>
    <row r="92" spans="1:66" s="301" customFormat="1" ht="36" x14ac:dyDescent="0.25">
      <c r="A92" s="268" t="s">
        <v>711</v>
      </c>
      <c r="B92" s="294"/>
      <c r="C92" s="298"/>
      <c r="D92" s="292"/>
      <c r="E92" s="291"/>
      <c r="F92" s="292"/>
      <c r="G92" s="291"/>
      <c r="H92" s="292"/>
      <c r="I92" s="291"/>
      <c r="J92" s="292"/>
      <c r="K92" s="291"/>
      <c r="L92" s="309"/>
      <c r="M92" s="291"/>
      <c r="N92" s="292"/>
      <c r="O92" s="291"/>
      <c r="P92" s="292"/>
      <c r="Q92" s="291"/>
      <c r="R92" s="292"/>
      <c r="S92" s="291"/>
      <c r="T92" s="292"/>
      <c r="U92" s="291"/>
      <c r="V92" s="292"/>
      <c r="W92" s="291"/>
      <c r="X92" s="292"/>
      <c r="Y92" s="291"/>
      <c r="Z92" s="291"/>
      <c r="AA92" s="292"/>
      <c r="AB92" s="291"/>
      <c r="AC92" s="292"/>
      <c r="AD92" s="291"/>
      <c r="AE92" s="292"/>
      <c r="AF92" s="291"/>
      <c r="AG92" s="292"/>
      <c r="AH92" s="291"/>
      <c r="AI92" s="292"/>
      <c r="AJ92" s="291"/>
      <c r="AK92" s="292"/>
      <c r="AL92" s="291"/>
      <c r="AM92" s="292"/>
      <c r="AN92" s="291"/>
      <c r="AO92" s="292"/>
      <c r="AP92" s="291"/>
      <c r="AQ92" s="292"/>
      <c r="AR92" s="291"/>
      <c r="AS92" s="292"/>
      <c r="AT92" s="291"/>
      <c r="AU92" s="291"/>
      <c r="AV92" s="292"/>
      <c r="AW92" s="291"/>
      <c r="AX92" s="292"/>
      <c r="AY92" s="291"/>
      <c r="AZ92" s="292"/>
      <c r="BA92" s="291"/>
      <c r="BB92" s="292"/>
      <c r="BC92" s="291"/>
      <c r="BD92" s="292"/>
      <c r="BE92" s="291"/>
      <c r="BF92" s="292"/>
      <c r="BG92" s="291"/>
      <c r="BH92" s="292"/>
      <c r="BI92" s="291"/>
      <c r="BJ92" s="300"/>
      <c r="BK92" s="298"/>
      <c r="BL92" s="299"/>
      <c r="BM92" s="299"/>
      <c r="BN92" s="300"/>
    </row>
    <row r="93" spans="1:66" s="301" customFormat="1" ht="18" x14ac:dyDescent="0.25">
      <c r="A93" s="268" t="s">
        <v>690</v>
      </c>
      <c r="B93" s="317" t="s">
        <v>691</v>
      </c>
      <c r="C93" s="298"/>
      <c r="D93" s="289">
        <f>'MCS Budget - Detailed'!N731+'MCS Budget - Detailed'!N732+'MCS Budget - Detailed'!N733</f>
        <v>92796</v>
      </c>
      <c r="E93" s="290"/>
      <c r="F93" s="289">
        <v>0</v>
      </c>
      <c r="G93" s="290"/>
      <c r="H93" s="289">
        <v>0</v>
      </c>
      <c r="I93" s="290"/>
      <c r="J93" s="289">
        <v>0</v>
      </c>
      <c r="K93" s="290"/>
      <c r="L93" s="289"/>
      <c r="M93" s="290"/>
      <c r="N93" s="289">
        <v>0</v>
      </c>
      <c r="O93" s="290"/>
      <c r="P93" s="289">
        <v>0</v>
      </c>
      <c r="Q93" s="290"/>
      <c r="R93" s="289">
        <v>0</v>
      </c>
      <c r="S93" s="290"/>
      <c r="T93" s="289">
        <v>0</v>
      </c>
      <c r="U93" s="290"/>
      <c r="V93" s="289">
        <v>0</v>
      </c>
      <c r="W93" s="290"/>
      <c r="X93" s="289">
        <v>0</v>
      </c>
      <c r="Y93" s="290"/>
      <c r="Z93" s="290"/>
      <c r="AA93" s="289">
        <v>0</v>
      </c>
      <c r="AB93" s="290"/>
      <c r="AC93" s="289">
        <v>0</v>
      </c>
      <c r="AD93" s="290"/>
      <c r="AE93" s="289">
        <v>0</v>
      </c>
      <c r="AF93" s="290"/>
      <c r="AG93" s="289">
        <v>0</v>
      </c>
      <c r="AH93" s="290"/>
      <c r="AI93" s="289">
        <v>0</v>
      </c>
      <c r="AJ93" s="290"/>
      <c r="AK93" s="289">
        <v>0</v>
      </c>
      <c r="AL93" s="290"/>
      <c r="AM93" s="289">
        <v>0</v>
      </c>
      <c r="AN93" s="290"/>
      <c r="AO93" s="289">
        <v>0</v>
      </c>
      <c r="AP93" s="290"/>
      <c r="AQ93" s="289">
        <v>0</v>
      </c>
      <c r="AR93" s="290"/>
      <c r="AS93" s="289">
        <v>0</v>
      </c>
      <c r="AT93" s="290"/>
      <c r="AU93" s="290"/>
      <c r="AV93" s="289">
        <v>0</v>
      </c>
      <c r="AW93" s="290"/>
      <c r="AX93" s="289">
        <v>0</v>
      </c>
      <c r="AY93" s="290"/>
      <c r="AZ93" s="289">
        <v>0</v>
      </c>
      <c r="BA93" s="290"/>
      <c r="BB93" s="289">
        <v>0</v>
      </c>
      <c r="BC93" s="290"/>
      <c r="BD93" s="289">
        <v>0</v>
      </c>
      <c r="BE93" s="290"/>
      <c r="BF93" s="289">
        <v>0</v>
      </c>
      <c r="BG93" s="290"/>
      <c r="BH93" s="289">
        <v>0</v>
      </c>
      <c r="BI93" s="291"/>
      <c r="BJ93" s="292">
        <f t="shared" ref="BJ93:BJ101" si="5">D93+F93+H93+J93+X93+N93+P93+R93+T93+V93+AA93+AC93+AG93+AI93+AK93+AM93+AO93+AQ93+AS93+AV93+AX93+AZ93+BB93+BD93+BH93+BF93+AE93</f>
        <v>92796</v>
      </c>
      <c r="BK93" s="298"/>
      <c r="BL93" s="299"/>
      <c r="BM93" s="299"/>
      <c r="BN93" s="300"/>
    </row>
    <row r="94" spans="1:66" s="301" customFormat="1" ht="18" x14ac:dyDescent="0.25">
      <c r="A94" s="268" t="s">
        <v>692</v>
      </c>
      <c r="B94" s="317" t="s">
        <v>693</v>
      </c>
      <c r="C94" s="298"/>
      <c r="D94" s="289">
        <f>'MCS Budget - Detailed'!N734+'MCS Budget - Detailed'!N735+'MCS Budget - Detailed'!N736+'MCS Budget - Detailed'!N738+'MCS Budget - Detailed'!N739+'MCS Budget - Detailed'!N741+'MCS Budget - Detailed'!N742+'MCS Budget - Detailed'!N744+'MCS Budget - Detailed'!N737+'MCS Budget - Detailed'!N740+'MCS Budget - Detailed'!N743+'MCS Budget - Detailed'!N745</f>
        <v>37295</v>
      </c>
      <c r="E94" s="290"/>
      <c r="F94" s="289">
        <v>0</v>
      </c>
      <c r="G94" s="290"/>
      <c r="H94" s="289">
        <v>0</v>
      </c>
      <c r="I94" s="290"/>
      <c r="J94" s="289">
        <v>0</v>
      </c>
      <c r="K94" s="290"/>
      <c r="L94" s="289"/>
      <c r="M94" s="290"/>
      <c r="N94" s="289">
        <v>0</v>
      </c>
      <c r="O94" s="290"/>
      <c r="P94" s="289">
        <v>0</v>
      </c>
      <c r="Q94" s="290"/>
      <c r="R94" s="289">
        <v>0</v>
      </c>
      <c r="S94" s="290"/>
      <c r="T94" s="289">
        <v>0</v>
      </c>
      <c r="U94" s="290"/>
      <c r="V94" s="289">
        <v>0</v>
      </c>
      <c r="W94" s="290"/>
      <c r="X94" s="289">
        <v>0</v>
      </c>
      <c r="Y94" s="290"/>
      <c r="Z94" s="290"/>
      <c r="AA94" s="289">
        <v>0</v>
      </c>
      <c r="AB94" s="290"/>
      <c r="AC94" s="289">
        <v>0</v>
      </c>
      <c r="AD94" s="290"/>
      <c r="AE94" s="289">
        <v>0</v>
      </c>
      <c r="AF94" s="290"/>
      <c r="AG94" s="289">
        <v>0</v>
      </c>
      <c r="AH94" s="290"/>
      <c r="AI94" s="289">
        <v>0</v>
      </c>
      <c r="AJ94" s="290"/>
      <c r="AK94" s="289">
        <v>0</v>
      </c>
      <c r="AL94" s="290"/>
      <c r="AM94" s="289">
        <v>0</v>
      </c>
      <c r="AN94" s="290"/>
      <c r="AO94" s="289">
        <v>0</v>
      </c>
      <c r="AP94" s="290"/>
      <c r="AQ94" s="289">
        <v>0</v>
      </c>
      <c r="AR94" s="290"/>
      <c r="AS94" s="289">
        <v>0</v>
      </c>
      <c r="AT94" s="290"/>
      <c r="AU94" s="290"/>
      <c r="AV94" s="289">
        <v>0</v>
      </c>
      <c r="AW94" s="290"/>
      <c r="AX94" s="289">
        <v>0</v>
      </c>
      <c r="AY94" s="290"/>
      <c r="AZ94" s="289">
        <v>0</v>
      </c>
      <c r="BA94" s="290"/>
      <c r="BB94" s="289">
        <v>0</v>
      </c>
      <c r="BC94" s="290"/>
      <c r="BD94" s="289">
        <v>0</v>
      </c>
      <c r="BE94" s="290"/>
      <c r="BF94" s="289">
        <v>0</v>
      </c>
      <c r="BG94" s="290"/>
      <c r="BH94" s="289">
        <v>0</v>
      </c>
      <c r="BI94" s="291"/>
      <c r="BJ94" s="292">
        <f t="shared" si="5"/>
        <v>37295</v>
      </c>
      <c r="BK94" s="298"/>
      <c r="BL94" s="299"/>
      <c r="BM94" s="299"/>
      <c r="BN94" s="300"/>
    </row>
    <row r="95" spans="1:66" s="301" customFormat="1" ht="18" x14ac:dyDescent="0.25">
      <c r="A95" s="268" t="s">
        <v>694</v>
      </c>
      <c r="B95" s="317" t="s">
        <v>482</v>
      </c>
      <c r="C95" s="298"/>
      <c r="D95" s="289">
        <f>'MCS Budget - Detailed'!N746+'MCS Budget - Detailed'!N747+'MCS Budget - Detailed'!N748</f>
        <v>20600</v>
      </c>
      <c r="E95" s="290"/>
      <c r="F95" s="289">
        <v>0</v>
      </c>
      <c r="G95" s="290"/>
      <c r="H95" s="289">
        <v>0</v>
      </c>
      <c r="I95" s="290"/>
      <c r="J95" s="289">
        <v>0</v>
      </c>
      <c r="K95" s="290"/>
      <c r="L95" s="289"/>
      <c r="M95" s="290"/>
      <c r="N95" s="289">
        <v>0</v>
      </c>
      <c r="O95" s="290"/>
      <c r="P95" s="289">
        <v>0</v>
      </c>
      <c r="Q95" s="290"/>
      <c r="R95" s="289">
        <v>0</v>
      </c>
      <c r="S95" s="290"/>
      <c r="T95" s="289">
        <v>0</v>
      </c>
      <c r="U95" s="290"/>
      <c r="V95" s="289">
        <v>0</v>
      </c>
      <c r="W95" s="290"/>
      <c r="X95" s="289">
        <v>0</v>
      </c>
      <c r="Y95" s="290"/>
      <c r="Z95" s="290"/>
      <c r="AA95" s="289">
        <v>0</v>
      </c>
      <c r="AB95" s="290"/>
      <c r="AC95" s="289">
        <v>0</v>
      </c>
      <c r="AD95" s="290"/>
      <c r="AE95" s="289">
        <v>0</v>
      </c>
      <c r="AF95" s="290"/>
      <c r="AG95" s="289">
        <v>0</v>
      </c>
      <c r="AH95" s="290"/>
      <c r="AI95" s="289">
        <v>0</v>
      </c>
      <c r="AJ95" s="290"/>
      <c r="AK95" s="289">
        <v>0</v>
      </c>
      <c r="AL95" s="290"/>
      <c r="AM95" s="289">
        <v>0</v>
      </c>
      <c r="AN95" s="290"/>
      <c r="AO95" s="289">
        <v>0</v>
      </c>
      <c r="AP95" s="290"/>
      <c r="AQ95" s="289">
        <v>0</v>
      </c>
      <c r="AR95" s="290"/>
      <c r="AS95" s="289">
        <v>0</v>
      </c>
      <c r="AT95" s="290"/>
      <c r="AU95" s="290"/>
      <c r="AV95" s="289">
        <v>0</v>
      </c>
      <c r="AW95" s="290"/>
      <c r="AX95" s="289">
        <v>0</v>
      </c>
      <c r="AY95" s="290"/>
      <c r="AZ95" s="289">
        <v>0</v>
      </c>
      <c r="BA95" s="290"/>
      <c r="BB95" s="289">
        <v>0</v>
      </c>
      <c r="BC95" s="290"/>
      <c r="BD95" s="289">
        <v>0</v>
      </c>
      <c r="BE95" s="290"/>
      <c r="BF95" s="289">
        <v>0</v>
      </c>
      <c r="BG95" s="290"/>
      <c r="BH95" s="289">
        <v>0</v>
      </c>
      <c r="BI95" s="291"/>
      <c r="BJ95" s="292">
        <f t="shared" si="5"/>
        <v>20600</v>
      </c>
      <c r="BK95" s="298"/>
      <c r="BL95" s="299"/>
      <c r="BM95" s="299"/>
      <c r="BN95" s="300"/>
    </row>
    <row r="96" spans="1:66" s="301" customFormat="1" ht="18" x14ac:dyDescent="0.25">
      <c r="A96" s="268" t="s">
        <v>749</v>
      </c>
      <c r="B96" s="317" t="s">
        <v>695</v>
      </c>
      <c r="C96" s="298"/>
      <c r="D96" s="289">
        <v>0</v>
      </c>
      <c r="E96" s="290"/>
      <c r="F96" s="289">
        <v>0</v>
      </c>
      <c r="G96" s="290"/>
      <c r="H96" s="289"/>
      <c r="I96" s="290"/>
      <c r="J96" s="289">
        <v>0</v>
      </c>
      <c r="K96" s="290"/>
      <c r="L96" s="289"/>
      <c r="M96" s="290"/>
      <c r="N96" s="289">
        <v>0</v>
      </c>
      <c r="O96" s="290"/>
      <c r="P96" s="289"/>
      <c r="Q96" s="290"/>
      <c r="R96" s="289">
        <v>0</v>
      </c>
      <c r="S96" s="290"/>
      <c r="T96" s="289"/>
      <c r="U96" s="290"/>
      <c r="V96" s="289"/>
      <c r="W96" s="290"/>
      <c r="X96" s="289"/>
      <c r="Y96" s="290"/>
      <c r="Z96" s="290"/>
      <c r="AA96" s="289"/>
      <c r="AB96" s="290"/>
      <c r="AC96" s="289">
        <v>0</v>
      </c>
      <c r="AD96" s="290"/>
      <c r="AE96" s="289"/>
      <c r="AF96" s="290"/>
      <c r="AG96" s="289">
        <v>0</v>
      </c>
      <c r="AH96" s="290"/>
      <c r="AI96" s="289"/>
      <c r="AJ96" s="290"/>
      <c r="AK96" s="289">
        <v>0</v>
      </c>
      <c r="AL96" s="290"/>
      <c r="AM96" s="289"/>
      <c r="AN96" s="290"/>
      <c r="AO96" s="289"/>
      <c r="AP96" s="290"/>
      <c r="AQ96" s="289"/>
      <c r="AR96" s="290"/>
      <c r="AS96" s="289"/>
      <c r="AT96" s="290"/>
      <c r="AU96" s="290"/>
      <c r="AV96" s="289"/>
      <c r="AW96" s="290"/>
      <c r="AX96" s="289"/>
      <c r="AY96" s="290"/>
      <c r="AZ96" s="289"/>
      <c r="BA96" s="290"/>
      <c r="BB96" s="289"/>
      <c r="BC96" s="290"/>
      <c r="BD96" s="289">
        <v>0</v>
      </c>
      <c r="BE96" s="290"/>
      <c r="BF96" s="289"/>
      <c r="BG96" s="290"/>
      <c r="BH96" s="289"/>
      <c r="BI96" s="291"/>
      <c r="BJ96" s="292">
        <f t="shared" si="5"/>
        <v>0</v>
      </c>
      <c r="BK96" s="298"/>
      <c r="BL96" s="299"/>
      <c r="BM96" s="299"/>
      <c r="BN96" s="300"/>
    </row>
    <row r="97" spans="1:66" s="301" customFormat="1" ht="18" x14ac:dyDescent="0.25">
      <c r="A97" s="268" t="s">
        <v>750</v>
      </c>
      <c r="B97" s="317" t="s">
        <v>696</v>
      </c>
      <c r="C97" s="298"/>
      <c r="D97" s="289">
        <f>'MCS Budget - Detailed'!N749</f>
        <v>0</v>
      </c>
      <c r="E97" s="290"/>
      <c r="F97" s="289">
        <v>0</v>
      </c>
      <c r="G97" s="290"/>
      <c r="H97" s="289"/>
      <c r="I97" s="290"/>
      <c r="J97" s="289">
        <v>0</v>
      </c>
      <c r="K97" s="290"/>
      <c r="L97" s="289"/>
      <c r="M97" s="290"/>
      <c r="N97" s="289">
        <v>0</v>
      </c>
      <c r="O97" s="290"/>
      <c r="P97" s="289"/>
      <c r="Q97" s="290"/>
      <c r="R97" s="289">
        <v>0</v>
      </c>
      <c r="S97" s="290"/>
      <c r="T97" s="289"/>
      <c r="U97" s="290"/>
      <c r="V97" s="289"/>
      <c r="W97" s="290"/>
      <c r="X97" s="289"/>
      <c r="Y97" s="290"/>
      <c r="Z97" s="290"/>
      <c r="AA97" s="289"/>
      <c r="AB97" s="290"/>
      <c r="AC97" s="289">
        <v>0</v>
      </c>
      <c r="AD97" s="290"/>
      <c r="AE97" s="289"/>
      <c r="AF97" s="290"/>
      <c r="AG97" s="289">
        <v>0</v>
      </c>
      <c r="AH97" s="290"/>
      <c r="AI97" s="289"/>
      <c r="AJ97" s="290"/>
      <c r="AK97" s="289">
        <v>0</v>
      </c>
      <c r="AL97" s="290"/>
      <c r="AM97" s="289"/>
      <c r="AN97" s="290"/>
      <c r="AO97" s="289"/>
      <c r="AP97" s="290"/>
      <c r="AQ97" s="289"/>
      <c r="AR97" s="290"/>
      <c r="AS97" s="289"/>
      <c r="AT97" s="290"/>
      <c r="AU97" s="290"/>
      <c r="AV97" s="289"/>
      <c r="AW97" s="290"/>
      <c r="AX97" s="289"/>
      <c r="AY97" s="290"/>
      <c r="AZ97" s="289"/>
      <c r="BA97" s="290"/>
      <c r="BB97" s="289"/>
      <c r="BC97" s="290"/>
      <c r="BD97" s="289">
        <v>0</v>
      </c>
      <c r="BE97" s="290"/>
      <c r="BF97" s="289"/>
      <c r="BG97" s="290"/>
      <c r="BH97" s="289"/>
      <c r="BI97" s="291"/>
      <c r="BJ97" s="292">
        <f t="shared" si="5"/>
        <v>0</v>
      </c>
      <c r="BK97" s="298"/>
      <c r="BL97" s="299"/>
      <c r="BM97" s="299"/>
      <c r="BN97" s="300"/>
    </row>
    <row r="98" spans="1:66" s="301" customFormat="1" ht="18" x14ac:dyDescent="0.25">
      <c r="A98" s="268" t="s">
        <v>697</v>
      </c>
      <c r="B98" s="317" t="s">
        <v>624</v>
      </c>
      <c r="C98" s="298"/>
      <c r="D98" s="289">
        <f>'MCS Budget - Detailed'!N750</f>
        <v>2000</v>
      </c>
      <c r="E98" s="290"/>
      <c r="F98" s="289">
        <v>0</v>
      </c>
      <c r="G98" s="290"/>
      <c r="H98" s="289">
        <v>0</v>
      </c>
      <c r="I98" s="290"/>
      <c r="J98" s="289">
        <v>0</v>
      </c>
      <c r="K98" s="290"/>
      <c r="L98" s="289"/>
      <c r="M98" s="290"/>
      <c r="N98" s="289">
        <v>0</v>
      </c>
      <c r="O98" s="290"/>
      <c r="P98" s="289">
        <v>0</v>
      </c>
      <c r="Q98" s="290"/>
      <c r="R98" s="289">
        <v>0</v>
      </c>
      <c r="S98" s="290"/>
      <c r="T98" s="289">
        <v>0</v>
      </c>
      <c r="U98" s="290"/>
      <c r="V98" s="289">
        <v>0</v>
      </c>
      <c r="W98" s="290"/>
      <c r="X98" s="289">
        <v>0</v>
      </c>
      <c r="Y98" s="290"/>
      <c r="Z98" s="290"/>
      <c r="AA98" s="289">
        <v>0</v>
      </c>
      <c r="AB98" s="290"/>
      <c r="AC98" s="289">
        <v>0</v>
      </c>
      <c r="AD98" s="290"/>
      <c r="AE98" s="289">
        <v>0</v>
      </c>
      <c r="AF98" s="290"/>
      <c r="AG98" s="289">
        <v>0</v>
      </c>
      <c r="AH98" s="290"/>
      <c r="AI98" s="289">
        <v>0</v>
      </c>
      <c r="AJ98" s="290"/>
      <c r="AK98" s="289">
        <v>0</v>
      </c>
      <c r="AL98" s="290"/>
      <c r="AM98" s="289">
        <v>0</v>
      </c>
      <c r="AN98" s="290"/>
      <c r="AO98" s="289">
        <v>0</v>
      </c>
      <c r="AP98" s="290"/>
      <c r="AQ98" s="289">
        <v>0</v>
      </c>
      <c r="AR98" s="290"/>
      <c r="AS98" s="289">
        <v>0</v>
      </c>
      <c r="AT98" s="290"/>
      <c r="AU98" s="290"/>
      <c r="AV98" s="289">
        <v>0</v>
      </c>
      <c r="AW98" s="290"/>
      <c r="AX98" s="289">
        <v>0</v>
      </c>
      <c r="AY98" s="290"/>
      <c r="AZ98" s="289">
        <v>0</v>
      </c>
      <c r="BA98" s="290"/>
      <c r="BB98" s="289">
        <v>0</v>
      </c>
      <c r="BC98" s="290"/>
      <c r="BD98" s="289">
        <v>0</v>
      </c>
      <c r="BE98" s="290"/>
      <c r="BF98" s="289">
        <v>0</v>
      </c>
      <c r="BG98" s="290"/>
      <c r="BH98" s="289">
        <v>0</v>
      </c>
      <c r="BI98" s="291"/>
      <c r="BJ98" s="292">
        <f t="shared" si="5"/>
        <v>2000</v>
      </c>
      <c r="BK98" s="298"/>
      <c r="BL98" s="299"/>
      <c r="BM98" s="299"/>
      <c r="BN98" s="300"/>
    </row>
    <row r="99" spans="1:66" s="301" customFormat="1" ht="18" x14ac:dyDescent="0.25">
      <c r="A99" s="268" t="s">
        <v>698</v>
      </c>
      <c r="B99" s="317" t="s">
        <v>492</v>
      </c>
      <c r="C99" s="298"/>
      <c r="D99" s="289">
        <f>'MCS Budget - Detailed'!N751+'MCS Budget - Detailed'!N752</f>
        <v>1000</v>
      </c>
      <c r="E99" s="290"/>
      <c r="F99" s="289">
        <v>0</v>
      </c>
      <c r="G99" s="290"/>
      <c r="H99" s="289">
        <v>0</v>
      </c>
      <c r="I99" s="290"/>
      <c r="J99" s="289">
        <v>0</v>
      </c>
      <c r="K99" s="290"/>
      <c r="L99" s="289"/>
      <c r="M99" s="290"/>
      <c r="N99" s="289">
        <v>0</v>
      </c>
      <c r="O99" s="290"/>
      <c r="P99" s="289">
        <v>0</v>
      </c>
      <c r="Q99" s="290"/>
      <c r="R99" s="289">
        <v>0</v>
      </c>
      <c r="S99" s="290"/>
      <c r="T99" s="289">
        <v>0</v>
      </c>
      <c r="U99" s="290"/>
      <c r="V99" s="289">
        <v>0</v>
      </c>
      <c r="W99" s="290"/>
      <c r="X99" s="289">
        <v>0</v>
      </c>
      <c r="Y99" s="290"/>
      <c r="Z99" s="290"/>
      <c r="AA99" s="289">
        <v>0</v>
      </c>
      <c r="AB99" s="290"/>
      <c r="AC99" s="289">
        <v>0</v>
      </c>
      <c r="AD99" s="290"/>
      <c r="AE99" s="289">
        <v>0</v>
      </c>
      <c r="AF99" s="290"/>
      <c r="AG99" s="289">
        <v>0</v>
      </c>
      <c r="AH99" s="290"/>
      <c r="AI99" s="289">
        <v>0</v>
      </c>
      <c r="AJ99" s="290"/>
      <c r="AK99" s="289">
        <v>0</v>
      </c>
      <c r="AL99" s="290"/>
      <c r="AM99" s="289">
        <v>0</v>
      </c>
      <c r="AN99" s="290"/>
      <c r="AO99" s="289">
        <v>0</v>
      </c>
      <c r="AP99" s="290"/>
      <c r="AQ99" s="289">
        <v>0</v>
      </c>
      <c r="AR99" s="290"/>
      <c r="AS99" s="289">
        <v>0</v>
      </c>
      <c r="AT99" s="290"/>
      <c r="AU99" s="290"/>
      <c r="AV99" s="289">
        <v>0</v>
      </c>
      <c r="AW99" s="290"/>
      <c r="AX99" s="289">
        <v>0</v>
      </c>
      <c r="AY99" s="290"/>
      <c r="AZ99" s="289">
        <v>0</v>
      </c>
      <c r="BA99" s="290"/>
      <c r="BB99" s="289">
        <v>0</v>
      </c>
      <c r="BC99" s="290"/>
      <c r="BD99" s="289">
        <v>0</v>
      </c>
      <c r="BE99" s="290"/>
      <c r="BF99" s="289">
        <v>0</v>
      </c>
      <c r="BG99" s="290"/>
      <c r="BH99" s="289">
        <v>0</v>
      </c>
      <c r="BI99" s="291"/>
      <c r="BJ99" s="292">
        <f t="shared" si="5"/>
        <v>1000</v>
      </c>
      <c r="BK99" s="298"/>
      <c r="BL99" s="299"/>
      <c r="BM99" s="299"/>
      <c r="BN99" s="300"/>
    </row>
    <row r="100" spans="1:66" s="301" customFormat="1" ht="18" x14ac:dyDescent="0.25">
      <c r="A100" s="268" t="s">
        <v>699</v>
      </c>
      <c r="B100" s="317" t="s">
        <v>700</v>
      </c>
      <c r="C100" s="298"/>
      <c r="D100" s="289">
        <f>'MCS Budget - Detailed'!N753+'MCS Budget - Detailed'!N754</f>
        <v>8800</v>
      </c>
      <c r="E100" s="290"/>
      <c r="F100" s="289">
        <v>0</v>
      </c>
      <c r="G100" s="290"/>
      <c r="H100" s="289">
        <v>0</v>
      </c>
      <c r="I100" s="290"/>
      <c r="J100" s="289">
        <v>0</v>
      </c>
      <c r="K100" s="290"/>
      <c r="L100" s="289"/>
      <c r="M100" s="290"/>
      <c r="N100" s="289">
        <v>0</v>
      </c>
      <c r="O100" s="290"/>
      <c r="P100" s="289">
        <v>0</v>
      </c>
      <c r="Q100" s="290"/>
      <c r="R100" s="289">
        <v>0</v>
      </c>
      <c r="S100" s="290"/>
      <c r="T100" s="289">
        <v>0</v>
      </c>
      <c r="U100" s="290"/>
      <c r="V100" s="289">
        <v>0</v>
      </c>
      <c r="W100" s="290"/>
      <c r="X100" s="289">
        <v>0</v>
      </c>
      <c r="Y100" s="290"/>
      <c r="Z100" s="290"/>
      <c r="AA100" s="289">
        <v>0</v>
      </c>
      <c r="AB100" s="290"/>
      <c r="AC100" s="289">
        <v>0</v>
      </c>
      <c r="AD100" s="290"/>
      <c r="AE100" s="289">
        <v>0</v>
      </c>
      <c r="AF100" s="290"/>
      <c r="AG100" s="289">
        <v>0</v>
      </c>
      <c r="AH100" s="290"/>
      <c r="AI100" s="289">
        <v>0</v>
      </c>
      <c r="AJ100" s="290"/>
      <c r="AK100" s="289">
        <v>0</v>
      </c>
      <c r="AL100" s="290"/>
      <c r="AM100" s="289">
        <v>0</v>
      </c>
      <c r="AN100" s="290"/>
      <c r="AO100" s="289">
        <v>0</v>
      </c>
      <c r="AP100" s="290"/>
      <c r="AQ100" s="289">
        <v>0</v>
      </c>
      <c r="AR100" s="290"/>
      <c r="AS100" s="289">
        <v>0</v>
      </c>
      <c r="AT100" s="290"/>
      <c r="AU100" s="290"/>
      <c r="AV100" s="289">
        <v>0</v>
      </c>
      <c r="AW100" s="290"/>
      <c r="AX100" s="289">
        <v>0</v>
      </c>
      <c r="AY100" s="290"/>
      <c r="AZ100" s="289">
        <v>0</v>
      </c>
      <c r="BA100" s="290"/>
      <c r="BB100" s="289">
        <v>0</v>
      </c>
      <c r="BC100" s="290"/>
      <c r="BD100" s="289">
        <v>0</v>
      </c>
      <c r="BE100" s="290"/>
      <c r="BF100" s="289">
        <v>0</v>
      </c>
      <c r="BG100" s="290"/>
      <c r="BH100" s="289">
        <v>0</v>
      </c>
      <c r="BI100" s="291"/>
      <c r="BJ100" s="292">
        <f t="shared" si="5"/>
        <v>8800</v>
      </c>
      <c r="BK100" s="298"/>
      <c r="BL100" s="299"/>
      <c r="BM100" s="299"/>
      <c r="BN100" s="300"/>
    </row>
    <row r="101" spans="1:66" s="301" customFormat="1" ht="18.75" thickBot="1" x14ac:dyDescent="0.3">
      <c r="A101" s="268" t="s">
        <v>751</v>
      </c>
      <c r="B101" s="317" t="s">
        <v>506</v>
      </c>
      <c r="C101" s="298"/>
      <c r="D101" s="289">
        <v>0</v>
      </c>
      <c r="E101" s="290"/>
      <c r="F101" s="289">
        <v>0</v>
      </c>
      <c r="G101" s="290"/>
      <c r="H101" s="289"/>
      <c r="I101" s="290"/>
      <c r="J101" s="289">
        <v>0</v>
      </c>
      <c r="K101" s="290"/>
      <c r="L101" s="289"/>
      <c r="M101" s="290"/>
      <c r="N101" s="289">
        <v>0</v>
      </c>
      <c r="O101" s="290"/>
      <c r="P101" s="289"/>
      <c r="Q101" s="290"/>
      <c r="R101" s="289">
        <v>0</v>
      </c>
      <c r="S101" s="290"/>
      <c r="T101" s="289"/>
      <c r="U101" s="290"/>
      <c r="V101" s="289"/>
      <c r="W101" s="290"/>
      <c r="X101" s="289"/>
      <c r="Y101" s="290"/>
      <c r="Z101" s="290"/>
      <c r="AA101" s="289"/>
      <c r="AB101" s="290"/>
      <c r="AC101" s="289">
        <v>0</v>
      </c>
      <c r="AD101" s="290"/>
      <c r="AE101" s="289"/>
      <c r="AF101" s="290"/>
      <c r="AG101" s="289">
        <v>0</v>
      </c>
      <c r="AH101" s="290"/>
      <c r="AI101" s="289"/>
      <c r="AJ101" s="290"/>
      <c r="AK101" s="289">
        <v>0</v>
      </c>
      <c r="AL101" s="290"/>
      <c r="AM101" s="289"/>
      <c r="AN101" s="290"/>
      <c r="AO101" s="289"/>
      <c r="AP101" s="290"/>
      <c r="AQ101" s="289"/>
      <c r="AR101" s="290"/>
      <c r="AS101" s="289"/>
      <c r="AT101" s="290"/>
      <c r="AU101" s="290"/>
      <c r="AV101" s="289"/>
      <c r="AW101" s="290"/>
      <c r="AX101" s="289"/>
      <c r="AY101" s="290"/>
      <c r="AZ101" s="289"/>
      <c r="BA101" s="290"/>
      <c r="BB101" s="289"/>
      <c r="BC101" s="290"/>
      <c r="BD101" s="289">
        <v>0</v>
      </c>
      <c r="BE101" s="290"/>
      <c r="BF101" s="289"/>
      <c r="BG101" s="290"/>
      <c r="BH101" s="289"/>
      <c r="BI101" s="291"/>
      <c r="BJ101" s="292">
        <f t="shared" si="5"/>
        <v>0</v>
      </c>
      <c r="BK101" s="298"/>
      <c r="BL101" s="299"/>
      <c r="BM101" s="299"/>
      <c r="BN101" s="300"/>
    </row>
    <row r="102" spans="1:66" s="301" customFormat="1" ht="18.75" thickBot="1" x14ac:dyDescent="0.3">
      <c r="A102" s="303" t="s">
        <v>712</v>
      </c>
      <c r="B102" s="312"/>
      <c r="C102" s="307"/>
      <c r="D102" s="306">
        <f>SUM(D93:D101)</f>
        <v>162491</v>
      </c>
      <c r="E102" s="307"/>
      <c r="F102" s="306">
        <f>SUM(F93:F101)</f>
        <v>0</v>
      </c>
      <c r="G102" s="307"/>
      <c r="H102" s="306">
        <f>SUM(H93:H100)</f>
        <v>0</v>
      </c>
      <c r="I102" s="307"/>
      <c r="J102" s="306">
        <f>SUM(J93:J101)</f>
        <v>0</v>
      </c>
      <c r="K102" s="307"/>
      <c r="L102" s="306">
        <f>SUM(L93:L100)</f>
        <v>0</v>
      </c>
      <c r="M102" s="307"/>
      <c r="N102" s="306">
        <f>SUM(N93:N101)</f>
        <v>0</v>
      </c>
      <c r="O102" s="307"/>
      <c r="P102" s="306">
        <f>SUM(P93:P100)</f>
        <v>0</v>
      </c>
      <c r="Q102" s="307"/>
      <c r="R102" s="306">
        <f>SUM(R93:R101)</f>
        <v>0</v>
      </c>
      <c r="S102" s="307"/>
      <c r="T102" s="306">
        <f>SUM(T93:T100)</f>
        <v>0</v>
      </c>
      <c r="U102" s="307"/>
      <c r="V102" s="306">
        <f>SUM(V93:V100)</f>
        <v>0</v>
      </c>
      <c r="W102" s="307"/>
      <c r="X102" s="306">
        <f>SUM(X93:X100)</f>
        <v>0</v>
      </c>
      <c r="Y102" s="307"/>
      <c r="Z102" s="307"/>
      <c r="AA102" s="306">
        <f>SUM(AA93:AA100)</f>
        <v>0</v>
      </c>
      <c r="AB102" s="307"/>
      <c r="AC102" s="306">
        <f>SUM(AC93:AC101)</f>
        <v>0</v>
      </c>
      <c r="AD102" s="307"/>
      <c r="AE102" s="306">
        <f>SUM(AE93:AE100)</f>
        <v>0</v>
      </c>
      <c r="AF102" s="307"/>
      <c r="AG102" s="306">
        <f>SUM(AG93:AG101)</f>
        <v>0</v>
      </c>
      <c r="AH102" s="307"/>
      <c r="AI102" s="306">
        <f>SUM(AI93:AI100)</f>
        <v>0</v>
      </c>
      <c r="AJ102" s="307"/>
      <c r="AK102" s="306">
        <f>SUM(AK93:AK101)</f>
        <v>0</v>
      </c>
      <c r="AL102" s="307"/>
      <c r="AM102" s="306">
        <f>SUM(AM93:AM100)</f>
        <v>0</v>
      </c>
      <c r="AN102" s="307"/>
      <c r="AO102" s="306">
        <f>SUM(AO93:AO100)</f>
        <v>0</v>
      </c>
      <c r="AP102" s="307"/>
      <c r="AQ102" s="306">
        <f>SUM(AQ93:AQ100)</f>
        <v>0</v>
      </c>
      <c r="AR102" s="307"/>
      <c r="AS102" s="306">
        <f>SUM(AS93:AS100)</f>
        <v>0</v>
      </c>
      <c r="AT102" s="307"/>
      <c r="AU102" s="307"/>
      <c r="AV102" s="306">
        <f>SUM(AV93:AV100)</f>
        <v>0</v>
      </c>
      <c r="AW102" s="307"/>
      <c r="AX102" s="306">
        <f>SUM(AX93:AX100)</f>
        <v>0</v>
      </c>
      <c r="AY102" s="307"/>
      <c r="AZ102" s="306">
        <f>SUM(AZ93:AZ100)</f>
        <v>0</v>
      </c>
      <c r="BA102" s="307"/>
      <c r="BB102" s="306">
        <f>SUM(BB93:BB100)</f>
        <v>0</v>
      </c>
      <c r="BC102" s="307"/>
      <c r="BD102" s="306">
        <f>SUM(BD93:BD101)</f>
        <v>0</v>
      </c>
      <c r="BE102" s="307"/>
      <c r="BF102" s="306">
        <f>SUM(BF93:BF100)</f>
        <v>0</v>
      </c>
      <c r="BG102" s="307"/>
      <c r="BH102" s="306">
        <f>SUM(BH93:BH100)</f>
        <v>0</v>
      </c>
      <c r="BI102" s="307"/>
      <c r="BJ102" s="306">
        <f>D102+F102+H102+J102+X102+N102+P102+R102+T102+V102+AA102+AC102+AG102+AI102+AK102+AM102+AO102+AQ102+AS102+AV102+AX102+AZ102+BB102+BD102+BH102+BF102+AE102</f>
        <v>162491</v>
      </c>
      <c r="BK102" s="307"/>
      <c r="BL102" s="308"/>
      <c r="BM102" s="308"/>
      <c r="BN102" s="300"/>
    </row>
    <row r="103" spans="1:66" s="301" customFormat="1" ht="36" x14ac:dyDescent="0.25">
      <c r="A103" s="268" t="s">
        <v>713</v>
      </c>
      <c r="B103" s="294"/>
      <c r="C103" s="298"/>
      <c r="D103" s="292"/>
      <c r="E103" s="291"/>
      <c r="F103" s="292"/>
      <c r="G103" s="291"/>
      <c r="H103" s="292"/>
      <c r="I103" s="291"/>
      <c r="J103" s="292"/>
      <c r="K103" s="291"/>
      <c r="L103" s="309"/>
      <c r="M103" s="291"/>
      <c r="N103" s="292"/>
      <c r="O103" s="291"/>
      <c r="P103" s="292"/>
      <c r="Q103" s="291"/>
      <c r="R103" s="292"/>
      <c r="S103" s="291"/>
      <c r="T103" s="292"/>
      <c r="U103" s="291"/>
      <c r="V103" s="292"/>
      <c r="W103" s="291"/>
      <c r="X103" s="292"/>
      <c r="Y103" s="291"/>
      <c r="Z103" s="291"/>
      <c r="AA103" s="292"/>
      <c r="AB103" s="291"/>
      <c r="AC103" s="292"/>
      <c r="AD103" s="291"/>
      <c r="AE103" s="292"/>
      <c r="AF103" s="291"/>
      <c r="AG103" s="292"/>
      <c r="AH103" s="291"/>
      <c r="AI103" s="292"/>
      <c r="AJ103" s="291"/>
      <c r="AK103" s="292"/>
      <c r="AL103" s="291"/>
      <c r="AM103" s="292"/>
      <c r="AN103" s="291"/>
      <c r="AO103" s="292"/>
      <c r="AP103" s="291"/>
      <c r="AQ103" s="292"/>
      <c r="AR103" s="291"/>
      <c r="AS103" s="292"/>
      <c r="AT103" s="291"/>
      <c r="AU103" s="291"/>
      <c r="AV103" s="292"/>
      <c r="AW103" s="291"/>
      <c r="AX103" s="292"/>
      <c r="AY103" s="291"/>
      <c r="AZ103" s="292"/>
      <c r="BA103" s="291"/>
      <c r="BB103" s="292"/>
      <c r="BC103" s="291"/>
      <c r="BD103" s="292"/>
      <c r="BE103" s="291"/>
      <c r="BF103" s="292"/>
      <c r="BG103" s="291"/>
      <c r="BH103" s="292"/>
      <c r="BI103" s="291"/>
      <c r="BJ103" s="300"/>
      <c r="BK103" s="298"/>
      <c r="BL103" s="299"/>
      <c r="BM103" s="299"/>
      <c r="BN103" s="300"/>
    </row>
    <row r="104" spans="1:66" s="301" customFormat="1" ht="18" x14ac:dyDescent="0.25">
      <c r="A104" s="268" t="s">
        <v>690</v>
      </c>
      <c r="B104" s="317" t="s">
        <v>691</v>
      </c>
      <c r="C104" s="298"/>
      <c r="D104" s="289">
        <f>'MCS Budget - Detailed'!N772+'MCS Budget - Detailed'!N773+'MCS Budget - Detailed'!N774</f>
        <v>117257</v>
      </c>
      <c r="E104" s="290"/>
      <c r="F104" s="289">
        <f>SUM('CCS Budget - Detailed'!H288+'CCS Budget - Detailed'!H289)</f>
        <v>24980</v>
      </c>
      <c r="G104" s="290"/>
      <c r="H104" s="289">
        <v>0</v>
      </c>
      <c r="I104" s="290"/>
      <c r="J104" s="289">
        <v>0</v>
      </c>
      <c r="K104" s="290"/>
      <c r="L104" s="289"/>
      <c r="M104" s="290"/>
      <c r="N104" s="289">
        <v>0</v>
      </c>
      <c r="O104" s="290"/>
      <c r="P104" s="289">
        <v>0</v>
      </c>
      <c r="Q104" s="290"/>
      <c r="R104" s="289">
        <v>0</v>
      </c>
      <c r="S104" s="290"/>
      <c r="T104" s="289">
        <v>0</v>
      </c>
      <c r="U104" s="290"/>
      <c r="V104" s="289">
        <v>0</v>
      </c>
      <c r="W104" s="290"/>
      <c r="X104" s="289">
        <v>0</v>
      </c>
      <c r="Y104" s="290"/>
      <c r="Z104" s="290"/>
      <c r="AA104" s="289">
        <v>0</v>
      </c>
      <c r="AB104" s="290"/>
      <c r="AC104" s="289">
        <v>0</v>
      </c>
      <c r="AD104" s="290"/>
      <c r="AE104" s="289">
        <v>0</v>
      </c>
      <c r="AF104" s="290"/>
      <c r="AG104" s="289">
        <v>0</v>
      </c>
      <c r="AH104" s="290"/>
      <c r="AI104" s="289">
        <v>0</v>
      </c>
      <c r="AJ104" s="290"/>
      <c r="AK104" s="289">
        <v>0</v>
      </c>
      <c r="AL104" s="290"/>
      <c r="AM104" s="289">
        <v>0</v>
      </c>
      <c r="AN104" s="290"/>
      <c r="AO104" s="289">
        <v>0</v>
      </c>
      <c r="AP104" s="290"/>
      <c r="AQ104" s="289">
        <v>0</v>
      </c>
      <c r="AR104" s="290"/>
      <c r="AS104" s="289">
        <v>0</v>
      </c>
      <c r="AT104" s="290"/>
      <c r="AU104" s="290"/>
      <c r="AV104" s="289">
        <v>0</v>
      </c>
      <c r="AW104" s="290"/>
      <c r="AX104" s="289">
        <v>0</v>
      </c>
      <c r="AY104" s="290"/>
      <c r="AZ104" s="289">
        <v>0</v>
      </c>
      <c r="BA104" s="290"/>
      <c r="BB104" s="289">
        <v>0</v>
      </c>
      <c r="BC104" s="290"/>
      <c r="BD104" s="289">
        <v>0</v>
      </c>
      <c r="BE104" s="290"/>
      <c r="BF104" s="289">
        <v>0</v>
      </c>
      <c r="BG104" s="290"/>
      <c r="BH104" s="289">
        <v>0</v>
      </c>
      <c r="BI104" s="291"/>
      <c r="BJ104" s="292">
        <f t="shared" ref="BJ104:BJ112" si="6">D104+F104+H104+J104+X104+N104+P104+R104+T104+V104+AA104+AC104+AG104+AI104+AK104+AM104+AO104+AQ104+AS104+AV104+AX104+AZ104+BB104+BD104+BH104+BF104+AE104</f>
        <v>142237</v>
      </c>
      <c r="BK104" s="298"/>
      <c r="BL104" s="299"/>
      <c r="BM104" s="299"/>
      <c r="BN104" s="300"/>
    </row>
    <row r="105" spans="1:66" s="301" customFormat="1" ht="18" x14ac:dyDescent="0.25">
      <c r="A105" s="268" t="s">
        <v>692</v>
      </c>
      <c r="B105" s="317" t="s">
        <v>693</v>
      </c>
      <c r="C105" s="298"/>
      <c r="D105" s="289">
        <f>'MCS Budget - Detailed'!N775+'MCS Budget - Detailed'!N776+'MCS Budget - Detailed'!N777+'MCS Budget - Detailed'!N778+'MCS Budget - Detailed'!N779+'MCS Budget - Detailed'!N780+'MCS Budget - Detailed'!N781+'MCS Budget - Detailed'!N782+'MCS Budget - Detailed'!N783+'MCS Budget - Detailed'!N784+'MCS Budget - Detailed'!N785+'MCS Budget - Detailed'!N786+'MCS Budget - Detailed'!N787+'MCS Budget - Detailed'!N788+'MCS Budget - Detailed'!N789+'MCS Budget - Detailed'!N790+'MCS Budget - Detailed'!N791+'MCS Budget - Detailed'!N792</f>
        <v>41952</v>
      </c>
      <c r="E105" s="290"/>
      <c r="F105" s="289">
        <f>SUM('CCS Budget - Detailed'!H290+'CCS Budget - Detailed'!H291+'CCS Budget - Detailed'!H292+'CCS Budget - Detailed'!H293)</f>
        <v>11703</v>
      </c>
      <c r="G105" s="290"/>
      <c r="H105" s="289">
        <v>0</v>
      </c>
      <c r="I105" s="290"/>
      <c r="J105" s="289">
        <v>0</v>
      </c>
      <c r="K105" s="290"/>
      <c r="L105" s="289"/>
      <c r="M105" s="290"/>
      <c r="N105" s="289">
        <v>0</v>
      </c>
      <c r="O105" s="290"/>
      <c r="P105" s="289">
        <v>0</v>
      </c>
      <c r="Q105" s="290"/>
      <c r="R105" s="289">
        <v>0</v>
      </c>
      <c r="S105" s="290"/>
      <c r="T105" s="289">
        <v>0</v>
      </c>
      <c r="U105" s="290"/>
      <c r="V105" s="289">
        <v>0</v>
      </c>
      <c r="W105" s="290"/>
      <c r="X105" s="289">
        <v>0</v>
      </c>
      <c r="Y105" s="290"/>
      <c r="Z105" s="290"/>
      <c r="AA105" s="289">
        <v>0</v>
      </c>
      <c r="AB105" s="290"/>
      <c r="AC105" s="289">
        <v>0</v>
      </c>
      <c r="AD105" s="290"/>
      <c r="AE105" s="289">
        <v>0</v>
      </c>
      <c r="AF105" s="290"/>
      <c r="AG105" s="289">
        <v>0</v>
      </c>
      <c r="AH105" s="290"/>
      <c r="AI105" s="289">
        <v>0</v>
      </c>
      <c r="AJ105" s="290"/>
      <c r="AK105" s="289">
        <v>0</v>
      </c>
      <c r="AL105" s="290"/>
      <c r="AM105" s="289">
        <v>0</v>
      </c>
      <c r="AN105" s="290"/>
      <c r="AO105" s="289">
        <v>0</v>
      </c>
      <c r="AP105" s="290"/>
      <c r="AQ105" s="289">
        <v>0</v>
      </c>
      <c r="AR105" s="290"/>
      <c r="AS105" s="289">
        <v>0</v>
      </c>
      <c r="AT105" s="290"/>
      <c r="AU105" s="290"/>
      <c r="AV105" s="289">
        <v>0</v>
      </c>
      <c r="AW105" s="290"/>
      <c r="AX105" s="289">
        <v>0</v>
      </c>
      <c r="AY105" s="290"/>
      <c r="AZ105" s="289">
        <v>0</v>
      </c>
      <c r="BA105" s="290"/>
      <c r="BB105" s="289">
        <v>0</v>
      </c>
      <c r="BC105" s="290"/>
      <c r="BD105" s="289">
        <v>0</v>
      </c>
      <c r="BE105" s="290"/>
      <c r="BF105" s="289">
        <v>0</v>
      </c>
      <c r="BG105" s="290"/>
      <c r="BH105" s="289">
        <v>0</v>
      </c>
      <c r="BI105" s="291"/>
      <c r="BJ105" s="292">
        <f t="shared" si="6"/>
        <v>53655</v>
      </c>
      <c r="BK105" s="298"/>
      <c r="BL105" s="299"/>
      <c r="BM105" s="299"/>
      <c r="BN105" s="300"/>
    </row>
    <row r="106" spans="1:66" s="301" customFormat="1" ht="18" x14ac:dyDescent="0.25">
      <c r="A106" s="268" t="s">
        <v>694</v>
      </c>
      <c r="B106" s="317" t="s">
        <v>482</v>
      </c>
      <c r="C106" s="298"/>
      <c r="D106" s="289">
        <f>'MCS Budget - Detailed'!N793+'MCS Budget - Detailed'!N794</f>
        <v>25000</v>
      </c>
      <c r="E106" s="290"/>
      <c r="F106" s="289">
        <f>SUM('CCS Budget - Detailed'!H294)</f>
        <v>10000</v>
      </c>
      <c r="G106" s="290"/>
      <c r="H106" s="289">
        <v>0</v>
      </c>
      <c r="I106" s="290"/>
      <c r="J106" s="289">
        <f>'MCS Budget - Detailed'!N909</f>
        <v>0</v>
      </c>
      <c r="K106" s="290"/>
      <c r="L106" s="289"/>
      <c r="M106" s="290"/>
      <c r="N106" s="289">
        <v>0</v>
      </c>
      <c r="O106" s="290"/>
      <c r="P106" s="289">
        <v>0</v>
      </c>
      <c r="Q106" s="290"/>
      <c r="R106" s="289">
        <v>0</v>
      </c>
      <c r="S106" s="290"/>
      <c r="T106" s="289">
        <v>0</v>
      </c>
      <c r="U106" s="290"/>
      <c r="V106" s="289">
        <v>0</v>
      </c>
      <c r="W106" s="290"/>
      <c r="X106" s="289">
        <v>0</v>
      </c>
      <c r="Y106" s="290"/>
      <c r="Z106" s="290"/>
      <c r="AA106" s="289">
        <v>0</v>
      </c>
      <c r="AB106" s="290"/>
      <c r="AC106" s="289">
        <v>0</v>
      </c>
      <c r="AD106" s="290"/>
      <c r="AE106" s="289">
        <v>0</v>
      </c>
      <c r="AF106" s="290"/>
      <c r="AG106" s="289">
        <v>0</v>
      </c>
      <c r="AH106" s="290"/>
      <c r="AI106" s="289">
        <v>0</v>
      </c>
      <c r="AJ106" s="290"/>
      <c r="AK106" s="289">
        <v>0</v>
      </c>
      <c r="AL106" s="290"/>
      <c r="AM106" s="289">
        <v>0</v>
      </c>
      <c r="AN106" s="290"/>
      <c r="AO106" s="289">
        <v>0</v>
      </c>
      <c r="AP106" s="290"/>
      <c r="AQ106" s="289">
        <v>0</v>
      </c>
      <c r="AR106" s="290"/>
      <c r="AS106" s="289">
        <v>0</v>
      </c>
      <c r="AT106" s="290"/>
      <c r="AU106" s="290"/>
      <c r="AV106" s="289">
        <v>0</v>
      </c>
      <c r="AW106" s="290"/>
      <c r="AX106" s="289">
        <v>0</v>
      </c>
      <c r="AY106" s="290"/>
      <c r="AZ106" s="289">
        <v>0</v>
      </c>
      <c r="BA106" s="290"/>
      <c r="BB106" s="289">
        <v>0</v>
      </c>
      <c r="BC106" s="290"/>
      <c r="BD106" s="289">
        <v>0</v>
      </c>
      <c r="BE106" s="290"/>
      <c r="BF106" s="289">
        <v>0</v>
      </c>
      <c r="BG106" s="290"/>
      <c r="BH106" s="289">
        <v>0</v>
      </c>
      <c r="BI106" s="291"/>
      <c r="BJ106" s="292">
        <f t="shared" si="6"/>
        <v>35000</v>
      </c>
      <c r="BK106" s="298"/>
      <c r="BL106" s="299"/>
      <c r="BM106" s="299"/>
      <c r="BN106" s="300"/>
    </row>
    <row r="107" spans="1:66" s="301" customFormat="1" ht="18" x14ac:dyDescent="0.25">
      <c r="A107" s="268" t="s">
        <v>749</v>
      </c>
      <c r="B107" s="317" t="s">
        <v>695</v>
      </c>
      <c r="C107" s="298"/>
      <c r="D107" s="289">
        <f>'MCS Budget - Detailed'!N795+'MCS Budget - Detailed'!N796+'MCS Budget - Detailed'!N797</f>
        <v>13100</v>
      </c>
      <c r="E107" s="290"/>
      <c r="F107" s="289">
        <f>SUM('CCS Budget - Detailed'!H295+'CCS Budget - Detailed'!H296+'CCS Budget - Detailed'!H297)</f>
        <v>9900</v>
      </c>
      <c r="G107" s="290"/>
      <c r="H107" s="289">
        <v>0</v>
      </c>
      <c r="I107" s="290"/>
      <c r="J107" s="289">
        <v>0</v>
      </c>
      <c r="K107" s="290"/>
      <c r="L107" s="289"/>
      <c r="M107" s="290"/>
      <c r="N107" s="289">
        <v>0</v>
      </c>
      <c r="O107" s="290"/>
      <c r="P107" s="289"/>
      <c r="Q107" s="290"/>
      <c r="R107" s="289">
        <v>0</v>
      </c>
      <c r="S107" s="290"/>
      <c r="T107" s="289"/>
      <c r="U107" s="290"/>
      <c r="V107" s="289"/>
      <c r="W107" s="290"/>
      <c r="X107" s="289"/>
      <c r="Y107" s="290"/>
      <c r="Z107" s="290"/>
      <c r="AA107" s="289"/>
      <c r="AB107" s="290"/>
      <c r="AC107" s="289">
        <v>0</v>
      </c>
      <c r="AD107" s="290"/>
      <c r="AE107" s="289"/>
      <c r="AF107" s="290"/>
      <c r="AG107" s="289">
        <v>0</v>
      </c>
      <c r="AH107" s="290"/>
      <c r="AI107" s="289"/>
      <c r="AJ107" s="290"/>
      <c r="AK107" s="289">
        <v>0</v>
      </c>
      <c r="AL107" s="290"/>
      <c r="AM107" s="289"/>
      <c r="AN107" s="290"/>
      <c r="AO107" s="289"/>
      <c r="AP107" s="290"/>
      <c r="AQ107" s="289"/>
      <c r="AR107" s="290"/>
      <c r="AS107" s="289"/>
      <c r="AT107" s="290"/>
      <c r="AU107" s="290"/>
      <c r="AV107" s="289"/>
      <c r="AW107" s="290"/>
      <c r="AX107" s="289"/>
      <c r="AY107" s="290"/>
      <c r="AZ107" s="289"/>
      <c r="BA107" s="290"/>
      <c r="BB107" s="289"/>
      <c r="BC107" s="290"/>
      <c r="BD107" s="289">
        <v>0</v>
      </c>
      <c r="BE107" s="290"/>
      <c r="BF107" s="289"/>
      <c r="BG107" s="290"/>
      <c r="BH107" s="289"/>
      <c r="BI107" s="291"/>
      <c r="BJ107" s="292">
        <f t="shared" si="6"/>
        <v>23000</v>
      </c>
      <c r="BK107" s="298"/>
      <c r="BL107" s="299"/>
      <c r="BM107" s="299"/>
      <c r="BN107" s="300"/>
    </row>
    <row r="108" spans="1:66" s="301" customFormat="1" ht="18" x14ac:dyDescent="0.25">
      <c r="A108" s="268" t="s">
        <v>750</v>
      </c>
      <c r="B108" s="317" t="s">
        <v>696</v>
      </c>
      <c r="C108" s="298"/>
      <c r="D108" s="289">
        <f>'MCS Budget - Detailed'!N798</f>
        <v>250</v>
      </c>
      <c r="E108" s="290"/>
      <c r="F108" s="289">
        <f>SUM('CCS Budget - Detailed'!H298)</f>
        <v>0</v>
      </c>
      <c r="G108" s="290"/>
      <c r="H108" s="289">
        <v>0</v>
      </c>
      <c r="I108" s="290"/>
      <c r="J108" s="289">
        <v>0</v>
      </c>
      <c r="K108" s="290"/>
      <c r="L108" s="289"/>
      <c r="M108" s="290"/>
      <c r="N108" s="289">
        <v>0</v>
      </c>
      <c r="O108" s="290"/>
      <c r="P108" s="289"/>
      <c r="Q108" s="290"/>
      <c r="R108" s="289">
        <v>0</v>
      </c>
      <c r="S108" s="290"/>
      <c r="T108" s="289"/>
      <c r="U108" s="290"/>
      <c r="V108" s="289"/>
      <c r="W108" s="290"/>
      <c r="X108" s="289"/>
      <c r="Y108" s="290"/>
      <c r="Z108" s="290"/>
      <c r="AA108" s="289"/>
      <c r="AB108" s="290"/>
      <c r="AC108" s="289">
        <v>0</v>
      </c>
      <c r="AD108" s="290"/>
      <c r="AE108" s="289"/>
      <c r="AF108" s="290"/>
      <c r="AG108" s="289">
        <v>0</v>
      </c>
      <c r="AH108" s="290"/>
      <c r="AI108" s="289"/>
      <c r="AJ108" s="290"/>
      <c r="AK108" s="289">
        <v>0</v>
      </c>
      <c r="AL108" s="290"/>
      <c r="AM108" s="289"/>
      <c r="AN108" s="290"/>
      <c r="AO108" s="289"/>
      <c r="AP108" s="290"/>
      <c r="AQ108" s="289"/>
      <c r="AR108" s="290"/>
      <c r="AS108" s="289"/>
      <c r="AT108" s="290"/>
      <c r="AU108" s="290"/>
      <c r="AV108" s="289"/>
      <c r="AW108" s="290"/>
      <c r="AX108" s="289"/>
      <c r="AY108" s="290"/>
      <c r="AZ108" s="289"/>
      <c r="BA108" s="290"/>
      <c r="BB108" s="289"/>
      <c r="BC108" s="290"/>
      <c r="BD108" s="289">
        <v>0</v>
      </c>
      <c r="BE108" s="290"/>
      <c r="BF108" s="289"/>
      <c r="BG108" s="290"/>
      <c r="BH108" s="289"/>
      <c r="BI108" s="291"/>
      <c r="BJ108" s="292">
        <f t="shared" si="6"/>
        <v>250</v>
      </c>
      <c r="BK108" s="298"/>
      <c r="BL108" s="299"/>
      <c r="BM108" s="299"/>
      <c r="BN108" s="300"/>
    </row>
    <row r="109" spans="1:66" s="301" customFormat="1" ht="18" x14ac:dyDescent="0.25">
      <c r="A109" s="268" t="s">
        <v>697</v>
      </c>
      <c r="B109" s="317" t="s">
        <v>624</v>
      </c>
      <c r="C109" s="298"/>
      <c r="D109" s="289">
        <f>'MCS Budget - Detailed'!N799+'MCS Budget - Detailed'!N800+'MCS Budget - Detailed'!N801</f>
        <v>95500</v>
      </c>
      <c r="E109" s="290"/>
      <c r="F109" s="289">
        <f>SUM('CCS Budget - Detailed'!H299+'CCS Budget - Detailed'!H300+'CCS Budget - Detailed'!H301+'CCS Budget - Detailed'!H302+'CCS Budget - Detailed'!H303)</f>
        <v>12100</v>
      </c>
      <c r="G109" s="290"/>
      <c r="H109" s="289">
        <v>0</v>
      </c>
      <c r="I109" s="290"/>
      <c r="J109" s="289">
        <v>0</v>
      </c>
      <c r="K109" s="290"/>
      <c r="L109" s="289"/>
      <c r="M109" s="290"/>
      <c r="N109" s="289">
        <v>0</v>
      </c>
      <c r="O109" s="290"/>
      <c r="P109" s="289">
        <v>0</v>
      </c>
      <c r="Q109" s="290"/>
      <c r="R109" s="289">
        <v>0</v>
      </c>
      <c r="S109" s="290"/>
      <c r="T109" s="289">
        <v>0</v>
      </c>
      <c r="U109" s="290"/>
      <c r="V109" s="289">
        <v>0</v>
      </c>
      <c r="W109" s="290"/>
      <c r="X109" s="289">
        <v>0</v>
      </c>
      <c r="Y109" s="290"/>
      <c r="Z109" s="290"/>
      <c r="AA109" s="289">
        <v>0</v>
      </c>
      <c r="AB109" s="290"/>
      <c r="AC109" s="289">
        <v>0</v>
      </c>
      <c r="AD109" s="290"/>
      <c r="AE109" s="289">
        <v>0</v>
      </c>
      <c r="AF109" s="290"/>
      <c r="AG109" s="289">
        <v>0</v>
      </c>
      <c r="AH109" s="290"/>
      <c r="AI109" s="289">
        <v>0</v>
      </c>
      <c r="AJ109" s="290"/>
      <c r="AK109" s="289">
        <v>0</v>
      </c>
      <c r="AL109" s="290"/>
      <c r="AM109" s="289">
        <v>0</v>
      </c>
      <c r="AN109" s="290"/>
      <c r="AO109" s="289">
        <v>0</v>
      </c>
      <c r="AP109" s="290"/>
      <c r="AQ109" s="289">
        <v>0</v>
      </c>
      <c r="AR109" s="290"/>
      <c r="AS109" s="289">
        <v>0</v>
      </c>
      <c r="AT109" s="290"/>
      <c r="AU109" s="290"/>
      <c r="AV109" s="289">
        <v>0</v>
      </c>
      <c r="AW109" s="290"/>
      <c r="AX109" s="289">
        <v>0</v>
      </c>
      <c r="AY109" s="290"/>
      <c r="AZ109" s="289">
        <v>0</v>
      </c>
      <c r="BA109" s="290"/>
      <c r="BB109" s="289">
        <v>0</v>
      </c>
      <c r="BC109" s="290"/>
      <c r="BD109" s="289">
        <v>0</v>
      </c>
      <c r="BE109" s="290"/>
      <c r="BF109" s="289">
        <v>0</v>
      </c>
      <c r="BG109" s="290"/>
      <c r="BH109" s="289">
        <v>0</v>
      </c>
      <c r="BI109" s="291"/>
      <c r="BJ109" s="292">
        <f t="shared" si="6"/>
        <v>107600</v>
      </c>
      <c r="BK109" s="298"/>
      <c r="BL109" s="299"/>
      <c r="BM109" s="299"/>
      <c r="BN109" s="300"/>
    </row>
    <row r="110" spans="1:66" s="301" customFormat="1" ht="18" x14ac:dyDescent="0.25">
      <c r="A110" s="268" t="s">
        <v>698</v>
      </c>
      <c r="B110" s="317" t="s">
        <v>492</v>
      </c>
      <c r="C110" s="298"/>
      <c r="D110" s="289">
        <f>'MCS Budget - Detailed'!N802+'MCS Budget - Detailed'!N803+'MCS Budget - Detailed'!N804+'MCS Budget - Detailed'!N805</f>
        <v>4000</v>
      </c>
      <c r="E110" s="290"/>
      <c r="F110" s="289">
        <f>SUM('CCS Budget - Detailed'!H333)</f>
        <v>60000</v>
      </c>
      <c r="G110" s="290"/>
      <c r="H110" s="289">
        <v>0</v>
      </c>
      <c r="I110" s="290"/>
      <c r="J110" s="289">
        <v>0</v>
      </c>
      <c r="K110" s="290"/>
      <c r="L110" s="289"/>
      <c r="M110" s="290"/>
      <c r="N110" s="289">
        <v>0</v>
      </c>
      <c r="O110" s="290"/>
      <c r="P110" s="289">
        <v>0</v>
      </c>
      <c r="Q110" s="290"/>
      <c r="R110" s="289">
        <v>0</v>
      </c>
      <c r="S110" s="290"/>
      <c r="T110" s="289">
        <v>0</v>
      </c>
      <c r="U110" s="290"/>
      <c r="V110" s="289">
        <v>0</v>
      </c>
      <c r="W110" s="290"/>
      <c r="X110" s="289">
        <v>0</v>
      </c>
      <c r="Y110" s="290"/>
      <c r="Z110" s="290"/>
      <c r="AA110" s="289">
        <v>0</v>
      </c>
      <c r="AB110" s="290"/>
      <c r="AC110" s="289">
        <v>0</v>
      </c>
      <c r="AD110" s="290"/>
      <c r="AE110" s="289">
        <v>0</v>
      </c>
      <c r="AF110" s="290"/>
      <c r="AG110" s="289">
        <v>0</v>
      </c>
      <c r="AH110" s="290"/>
      <c r="AI110" s="289">
        <v>0</v>
      </c>
      <c r="AJ110" s="290"/>
      <c r="AK110" s="289">
        <f>'MCS Budget - Detailed'!N1014+'MCS Budget - Detailed'!N1015+'MCS Budget - Detailed'!N1016+'CCS Budget - Detailed'!J357+'CCS Budget - Detailed'!J359+'CCS Budget - Detailed'!J360+'CCS Budget - Detailed'!J361</f>
        <v>253465</v>
      </c>
      <c r="AL110" s="290"/>
      <c r="AM110" s="289">
        <v>0</v>
      </c>
      <c r="AN110" s="290"/>
      <c r="AO110" s="289">
        <v>0</v>
      </c>
      <c r="AP110" s="290"/>
      <c r="AQ110" s="289">
        <v>0</v>
      </c>
      <c r="AR110" s="290"/>
      <c r="AS110" s="289">
        <v>0</v>
      </c>
      <c r="AT110" s="290"/>
      <c r="AU110" s="290"/>
      <c r="AV110" s="289">
        <v>0</v>
      </c>
      <c r="AW110" s="290"/>
      <c r="AX110" s="289">
        <v>0</v>
      </c>
      <c r="AY110" s="290"/>
      <c r="AZ110" s="289">
        <v>0</v>
      </c>
      <c r="BA110" s="290"/>
      <c r="BB110" s="289">
        <v>0</v>
      </c>
      <c r="BC110" s="290"/>
      <c r="BD110" s="289">
        <v>0</v>
      </c>
      <c r="BE110" s="290"/>
      <c r="BF110" s="289">
        <v>0</v>
      </c>
      <c r="BG110" s="290"/>
      <c r="BH110" s="289">
        <v>0</v>
      </c>
      <c r="BI110" s="291"/>
      <c r="BJ110" s="292">
        <f t="shared" si="6"/>
        <v>317465</v>
      </c>
      <c r="BK110" s="298"/>
      <c r="BL110" s="299"/>
      <c r="BM110" s="299"/>
      <c r="BN110" s="300"/>
    </row>
    <row r="111" spans="1:66" s="301" customFormat="1" ht="18" x14ac:dyDescent="0.25">
      <c r="A111" s="268" t="s">
        <v>699</v>
      </c>
      <c r="B111" s="317" t="s">
        <v>700</v>
      </c>
      <c r="C111" s="298"/>
      <c r="D111" s="289">
        <v>0</v>
      </c>
      <c r="E111" s="290"/>
      <c r="F111" s="289">
        <v>0</v>
      </c>
      <c r="G111" s="290"/>
      <c r="H111" s="289">
        <v>0</v>
      </c>
      <c r="I111" s="290"/>
      <c r="J111" s="289">
        <v>0</v>
      </c>
      <c r="K111" s="290"/>
      <c r="L111" s="289"/>
      <c r="M111" s="290"/>
      <c r="N111" s="289">
        <v>0</v>
      </c>
      <c r="O111" s="290"/>
      <c r="P111" s="289">
        <v>0</v>
      </c>
      <c r="Q111" s="290"/>
      <c r="R111" s="289">
        <v>0</v>
      </c>
      <c r="S111" s="290"/>
      <c r="T111" s="289">
        <v>0</v>
      </c>
      <c r="U111" s="290"/>
      <c r="V111" s="289">
        <v>0</v>
      </c>
      <c r="W111" s="290"/>
      <c r="X111" s="289">
        <v>0</v>
      </c>
      <c r="Y111" s="290"/>
      <c r="Z111" s="290"/>
      <c r="AA111" s="289">
        <v>0</v>
      </c>
      <c r="AB111" s="290"/>
      <c r="AC111" s="289">
        <v>0</v>
      </c>
      <c r="AD111" s="290"/>
      <c r="AE111" s="289">
        <v>0</v>
      </c>
      <c r="AF111" s="290"/>
      <c r="AG111" s="289">
        <v>0</v>
      </c>
      <c r="AH111" s="290"/>
      <c r="AI111" s="289">
        <v>0</v>
      </c>
      <c r="AJ111" s="290"/>
      <c r="AK111" s="289">
        <v>0</v>
      </c>
      <c r="AL111" s="290"/>
      <c r="AM111" s="289">
        <v>0</v>
      </c>
      <c r="AN111" s="290"/>
      <c r="AO111" s="289">
        <v>0</v>
      </c>
      <c r="AP111" s="290"/>
      <c r="AQ111" s="289">
        <v>0</v>
      </c>
      <c r="AR111" s="290"/>
      <c r="AS111" s="289">
        <v>0</v>
      </c>
      <c r="AT111" s="290"/>
      <c r="AU111" s="290"/>
      <c r="AV111" s="289">
        <v>0</v>
      </c>
      <c r="AW111" s="290"/>
      <c r="AX111" s="289">
        <v>0</v>
      </c>
      <c r="AY111" s="290"/>
      <c r="AZ111" s="289">
        <v>0</v>
      </c>
      <c r="BA111" s="290"/>
      <c r="BB111" s="289">
        <v>0</v>
      </c>
      <c r="BC111" s="290"/>
      <c r="BD111" s="289">
        <v>0</v>
      </c>
      <c r="BE111" s="290"/>
      <c r="BF111" s="289">
        <v>0</v>
      </c>
      <c r="BG111" s="290"/>
      <c r="BH111" s="289">
        <v>0</v>
      </c>
      <c r="BI111" s="291"/>
      <c r="BJ111" s="292">
        <f t="shared" si="6"/>
        <v>0</v>
      </c>
      <c r="BK111" s="298"/>
      <c r="BL111" s="299"/>
      <c r="BM111" s="299"/>
      <c r="BN111" s="300"/>
    </row>
    <row r="112" spans="1:66" s="301" customFormat="1" ht="18.75" thickBot="1" x14ac:dyDescent="0.3">
      <c r="A112" s="268" t="s">
        <v>751</v>
      </c>
      <c r="B112" s="317" t="s">
        <v>506</v>
      </c>
      <c r="C112" s="298"/>
      <c r="D112" s="289">
        <v>0</v>
      </c>
      <c r="E112" s="290"/>
      <c r="F112" s="289">
        <v>0</v>
      </c>
      <c r="G112" s="290"/>
      <c r="H112" s="289"/>
      <c r="I112" s="290"/>
      <c r="J112" s="289">
        <v>0</v>
      </c>
      <c r="K112" s="290"/>
      <c r="L112" s="289"/>
      <c r="M112" s="290"/>
      <c r="N112" s="289">
        <v>0</v>
      </c>
      <c r="O112" s="290"/>
      <c r="P112" s="289"/>
      <c r="Q112" s="290"/>
      <c r="R112" s="289">
        <v>0</v>
      </c>
      <c r="S112" s="290"/>
      <c r="T112" s="289"/>
      <c r="U112" s="290"/>
      <c r="V112" s="289"/>
      <c r="W112" s="290"/>
      <c r="X112" s="289"/>
      <c r="Y112" s="290"/>
      <c r="Z112" s="290"/>
      <c r="AA112" s="289"/>
      <c r="AB112" s="290"/>
      <c r="AC112" s="289">
        <v>0</v>
      </c>
      <c r="AD112" s="290"/>
      <c r="AE112" s="289"/>
      <c r="AF112" s="290"/>
      <c r="AG112" s="289">
        <v>0</v>
      </c>
      <c r="AH112" s="290"/>
      <c r="AI112" s="289"/>
      <c r="AJ112" s="290"/>
      <c r="AK112" s="289">
        <v>0</v>
      </c>
      <c r="AL112" s="290"/>
      <c r="AM112" s="289"/>
      <c r="AN112" s="290"/>
      <c r="AO112" s="289"/>
      <c r="AP112" s="290"/>
      <c r="AQ112" s="289"/>
      <c r="AR112" s="290"/>
      <c r="AS112" s="289"/>
      <c r="AT112" s="290"/>
      <c r="AU112" s="290"/>
      <c r="AV112" s="289"/>
      <c r="AW112" s="290"/>
      <c r="AX112" s="289"/>
      <c r="AY112" s="290"/>
      <c r="AZ112" s="289"/>
      <c r="BA112" s="290"/>
      <c r="BB112" s="289"/>
      <c r="BC112" s="290"/>
      <c r="BD112" s="289">
        <v>0</v>
      </c>
      <c r="BE112" s="290"/>
      <c r="BF112" s="289"/>
      <c r="BG112" s="290"/>
      <c r="BH112" s="289"/>
      <c r="BI112" s="291"/>
      <c r="BJ112" s="292">
        <f t="shared" si="6"/>
        <v>0</v>
      </c>
      <c r="BK112" s="298"/>
      <c r="BL112" s="299"/>
      <c r="BM112" s="299"/>
      <c r="BN112" s="300"/>
    </row>
    <row r="113" spans="1:66" s="301" customFormat="1" ht="18.75" thickBot="1" x14ac:dyDescent="0.3">
      <c r="A113" s="303" t="s">
        <v>714</v>
      </c>
      <c r="B113" s="312"/>
      <c r="C113" s="307"/>
      <c r="D113" s="306">
        <f>SUM(D104:D112)</f>
        <v>297059</v>
      </c>
      <c r="E113" s="307"/>
      <c r="F113" s="306">
        <f>SUM(F104:F112)</f>
        <v>128683</v>
      </c>
      <c r="G113" s="307"/>
      <c r="H113" s="306">
        <f>SUM(H104:H111)</f>
        <v>0</v>
      </c>
      <c r="I113" s="307"/>
      <c r="J113" s="306">
        <f>SUM(J104:J112)</f>
        <v>0</v>
      </c>
      <c r="K113" s="307"/>
      <c r="L113" s="306">
        <f>SUM(L104:L111)</f>
        <v>0</v>
      </c>
      <c r="M113" s="307"/>
      <c r="N113" s="306">
        <f>SUM(N104:N112)</f>
        <v>0</v>
      </c>
      <c r="O113" s="307"/>
      <c r="P113" s="306">
        <f>SUM(P104:P111)</f>
        <v>0</v>
      </c>
      <c r="Q113" s="307"/>
      <c r="R113" s="306">
        <f>SUM(R104:R112)</f>
        <v>0</v>
      </c>
      <c r="S113" s="307"/>
      <c r="T113" s="306">
        <f>SUM(T104:T111)</f>
        <v>0</v>
      </c>
      <c r="U113" s="307"/>
      <c r="V113" s="306">
        <f>SUM(V104:V111)</f>
        <v>0</v>
      </c>
      <c r="W113" s="307"/>
      <c r="X113" s="306">
        <f>SUM(X104:X111)</f>
        <v>0</v>
      </c>
      <c r="Y113" s="307"/>
      <c r="Z113" s="307"/>
      <c r="AA113" s="306">
        <f>SUM(AA104:AA111)</f>
        <v>0</v>
      </c>
      <c r="AB113" s="307"/>
      <c r="AC113" s="306">
        <f>SUM(AC104:AC112)</f>
        <v>0</v>
      </c>
      <c r="AD113" s="307"/>
      <c r="AE113" s="306">
        <f>SUM(AE104:AE111)</f>
        <v>0</v>
      </c>
      <c r="AF113" s="307"/>
      <c r="AG113" s="306">
        <f>SUM(AG104:AG112)</f>
        <v>0</v>
      </c>
      <c r="AH113" s="307"/>
      <c r="AI113" s="306">
        <f>SUM(AI104:AI111)</f>
        <v>0</v>
      </c>
      <c r="AJ113" s="307"/>
      <c r="AK113" s="306">
        <f>SUM(AK104:AK112)</f>
        <v>253465</v>
      </c>
      <c r="AL113" s="307"/>
      <c r="AM113" s="306">
        <f>SUM(AM104:AM111)</f>
        <v>0</v>
      </c>
      <c r="AN113" s="307"/>
      <c r="AO113" s="306">
        <f>SUM(AO104:AO111)</f>
        <v>0</v>
      </c>
      <c r="AP113" s="307"/>
      <c r="AQ113" s="306">
        <f>SUM(AQ104:AQ111)</f>
        <v>0</v>
      </c>
      <c r="AR113" s="307"/>
      <c r="AS113" s="306">
        <f>SUM(AS104:AS111)</f>
        <v>0</v>
      </c>
      <c r="AT113" s="307"/>
      <c r="AU113" s="307"/>
      <c r="AV113" s="306">
        <f>SUM(AV104:AV111)</f>
        <v>0</v>
      </c>
      <c r="AW113" s="307"/>
      <c r="AX113" s="306">
        <f>SUM(AX104:AX111)</f>
        <v>0</v>
      </c>
      <c r="AY113" s="307"/>
      <c r="AZ113" s="306">
        <f>SUM(AZ104:AZ111)</f>
        <v>0</v>
      </c>
      <c r="BA113" s="307"/>
      <c r="BB113" s="306">
        <f>SUM(BB104:BB111)</f>
        <v>0</v>
      </c>
      <c r="BC113" s="307"/>
      <c r="BD113" s="306">
        <f>SUM(BD104:BD112)</f>
        <v>0</v>
      </c>
      <c r="BE113" s="307"/>
      <c r="BF113" s="306">
        <f>SUM(BF104:BF111)</f>
        <v>0</v>
      </c>
      <c r="BG113" s="307"/>
      <c r="BH113" s="306">
        <f>SUM(BH104:BH111)</f>
        <v>0</v>
      </c>
      <c r="BI113" s="307"/>
      <c r="BJ113" s="306">
        <f>D113+F113+H113+J113+X113+N113+P113+R113+T113+V113+AA113+AC113+AG113+AI113+AK113+AM113+AO113+AQ113+AS113+AV113+AX113+AZ113+BB113+BD113+BH113+BF113+AE113</f>
        <v>679207</v>
      </c>
      <c r="BK113" s="307"/>
      <c r="BL113" s="308"/>
      <c r="BM113" s="308"/>
      <c r="BN113" s="300"/>
    </row>
    <row r="114" spans="1:66" s="301" customFormat="1" ht="18" x14ac:dyDescent="0.25">
      <c r="A114" s="268"/>
      <c r="B114" s="294"/>
      <c r="C114" s="298"/>
      <c r="D114" s="292"/>
      <c r="E114" s="291"/>
      <c r="F114" s="292"/>
      <c r="G114" s="291"/>
      <c r="H114" s="292"/>
      <c r="I114" s="291"/>
      <c r="J114" s="292"/>
      <c r="K114" s="291"/>
      <c r="L114" s="309"/>
      <c r="M114" s="291"/>
      <c r="N114" s="292"/>
      <c r="O114" s="291"/>
      <c r="P114" s="292"/>
      <c r="Q114" s="291"/>
      <c r="R114" s="292"/>
      <c r="S114" s="291"/>
      <c r="T114" s="292"/>
      <c r="U114" s="291"/>
      <c r="V114" s="292"/>
      <c r="W114" s="291"/>
      <c r="X114" s="292"/>
      <c r="Y114" s="291"/>
      <c r="Z114" s="291"/>
      <c r="AA114" s="292"/>
      <c r="AB114" s="291"/>
      <c r="AC114" s="292"/>
      <c r="AD114" s="291"/>
      <c r="AE114" s="292"/>
      <c r="AF114" s="291"/>
      <c r="AG114" s="292"/>
      <c r="AH114" s="291"/>
      <c r="AI114" s="292"/>
      <c r="AJ114" s="291"/>
      <c r="AK114" s="292"/>
      <c r="AL114" s="291"/>
      <c r="AM114" s="292"/>
      <c r="AN114" s="291"/>
      <c r="AO114" s="292"/>
      <c r="AP114" s="291"/>
      <c r="AQ114" s="292"/>
      <c r="AR114" s="291"/>
      <c r="AS114" s="292"/>
      <c r="AT114" s="291"/>
      <c r="AU114" s="291"/>
      <c r="AV114" s="292"/>
      <c r="AW114" s="291"/>
      <c r="AX114" s="292"/>
      <c r="AY114" s="291"/>
      <c r="AZ114" s="292"/>
      <c r="BA114" s="291"/>
      <c r="BB114" s="292"/>
      <c r="BC114" s="291"/>
      <c r="BD114" s="292"/>
      <c r="BE114" s="291"/>
      <c r="BF114" s="292"/>
      <c r="BG114" s="291"/>
      <c r="BH114" s="292"/>
      <c r="BI114" s="291"/>
      <c r="BJ114" s="300"/>
      <c r="BK114" s="298"/>
      <c r="BL114" s="299"/>
      <c r="BM114" s="299"/>
      <c r="BN114" s="300"/>
    </row>
    <row r="115" spans="1:66" s="301" customFormat="1" ht="36" x14ac:dyDescent="0.25">
      <c r="A115" s="268" t="s">
        <v>715</v>
      </c>
      <c r="B115" s="294"/>
      <c r="C115" s="298"/>
      <c r="D115" s="292"/>
      <c r="E115" s="291"/>
      <c r="F115" s="292"/>
      <c r="G115" s="291"/>
      <c r="H115" s="292"/>
      <c r="I115" s="291"/>
      <c r="J115" s="292"/>
      <c r="K115" s="291"/>
      <c r="L115" s="309"/>
      <c r="M115" s="291"/>
      <c r="N115" s="292"/>
      <c r="O115" s="291"/>
      <c r="P115" s="292"/>
      <c r="Q115" s="291"/>
      <c r="R115" s="292"/>
      <c r="S115" s="291"/>
      <c r="T115" s="292"/>
      <c r="U115" s="291"/>
      <c r="V115" s="292"/>
      <c r="W115" s="291"/>
      <c r="X115" s="292"/>
      <c r="Y115" s="291"/>
      <c r="Z115" s="291"/>
      <c r="AA115" s="292"/>
      <c r="AB115" s="291"/>
      <c r="AC115" s="292"/>
      <c r="AD115" s="291"/>
      <c r="AE115" s="292"/>
      <c r="AF115" s="291"/>
      <c r="AG115" s="292"/>
      <c r="AH115" s="291"/>
      <c r="AI115" s="292"/>
      <c r="AJ115" s="291"/>
      <c r="AK115" s="292"/>
      <c r="AL115" s="291"/>
      <c r="AM115" s="292"/>
      <c r="AN115" s="291"/>
      <c r="AO115" s="292"/>
      <c r="AP115" s="291"/>
      <c r="AQ115" s="292"/>
      <c r="AR115" s="291"/>
      <c r="AS115" s="292"/>
      <c r="AT115" s="291"/>
      <c r="AU115" s="291"/>
      <c r="AV115" s="292"/>
      <c r="AW115" s="291"/>
      <c r="AX115" s="292"/>
      <c r="AY115" s="291"/>
      <c r="AZ115" s="292"/>
      <c r="BA115" s="291"/>
      <c r="BB115" s="292"/>
      <c r="BC115" s="291"/>
      <c r="BD115" s="292"/>
      <c r="BE115" s="291"/>
      <c r="BF115" s="292"/>
      <c r="BG115" s="291"/>
      <c r="BH115" s="292"/>
      <c r="BI115" s="291"/>
      <c r="BJ115" s="300"/>
      <c r="BK115" s="298"/>
      <c r="BL115" s="299"/>
      <c r="BM115" s="299"/>
      <c r="BN115" s="300"/>
    </row>
    <row r="116" spans="1:66" s="301" customFormat="1" ht="18" x14ac:dyDescent="0.25">
      <c r="A116" s="268" t="s">
        <v>690</v>
      </c>
      <c r="B116" s="317" t="s">
        <v>691</v>
      </c>
      <c r="C116" s="298"/>
      <c r="D116" s="289">
        <f>'MCS Budget - Detailed'!N807+'MCS Budget - Detailed'!N808+'MCS Budget - Detailed'!N834+'MCS Budget - Detailed'!N809</f>
        <v>117123</v>
      </c>
      <c r="E116" s="290"/>
      <c r="F116" s="289">
        <f>SUM('CCS Budget - Detailed'!H313)</f>
        <v>4000</v>
      </c>
      <c r="G116" s="290"/>
      <c r="H116" s="289">
        <v>0</v>
      </c>
      <c r="I116" s="290"/>
      <c r="J116" s="289">
        <v>0</v>
      </c>
      <c r="K116" s="290"/>
      <c r="L116" s="289"/>
      <c r="M116" s="290"/>
      <c r="N116" s="289">
        <v>0</v>
      </c>
      <c r="O116" s="290"/>
      <c r="P116" s="289">
        <v>0</v>
      </c>
      <c r="Q116" s="290"/>
      <c r="R116" s="289">
        <v>0</v>
      </c>
      <c r="S116" s="290"/>
      <c r="T116" s="289">
        <v>0</v>
      </c>
      <c r="U116" s="290"/>
      <c r="V116" s="289">
        <v>0</v>
      </c>
      <c r="W116" s="290"/>
      <c r="X116" s="289">
        <v>0</v>
      </c>
      <c r="Y116" s="290"/>
      <c r="Z116" s="290"/>
      <c r="AA116" s="289">
        <v>0</v>
      </c>
      <c r="AB116" s="290"/>
      <c r="AC116" s="289">
        <v>0</v>
      </c>
      <c r="AD116" s="290"/>
      <c r="AE116" s="289">
        <v>0</v>
      </c>
      <c r="AF116" s="290"/>
      <c r="AG116" s="289">
        <v>0</v>
      </c>
      <c r="AH116" s="290"/>
      <c r="AI116" s="289">
        <v>0</v>
      </c>
      <c r="AJ116" s="290"/>
      <c r="AK116" s="289">
        <v>0</v>
      </c>
      <c r="AL116" s="290"/>
      <c r="AM116" s="289">
        <v>0</v>
      </c>
      <c r="AN116" s="290"/>
      <c r="AO116" s="289">
        <v>0</v>
      </c>
      <c r="AP116" s="290"/>
      <c r="AQ116" s="289">
        <v>0</v>
      </c>
      <c r="AR116" s="290"/>
      <c r="AS116" s="289">
        <v>0</v>
      </c>
      <c r="AT116" s="290"/>
      <c r="AU116" s="290"/>
      <c r="AV116" s="289">
        <v>0</v>
      </c>
      <c r="AW116" s="290"/>
      <c r="AX116" s="289">
        <v>0</v>
      </c>
      <c r="AY116" s="290"/>
      <c r="AZ116" s="289">
        <v>0</v>
      </c>
      <c r="BA116" s="290"/>
      <c r="BB116" s="289">
        <v>0</v>
      </c>
      <c r="BC116" s="290"/>
      <c r="BD116" s="289">
        <v>0</v>
      </c>
      <c r="BE116" s="290"/>
      <c r="BF116" s="289">
        <v>0</v>
      </c>
      <c r="BG116" s="290"/>
      <c r="BH116" s="289">
        <v>0</v>
      </c>
      <c r="BI116" s="291"/>
      <c r="BJ116" s="292">
        <f t="shared" ref="BJ116:BJ124" si="7">D116+F116+H116+J116+X116+N116+P116+R116+T116+V116+AA116+AC116+AG116+AI116+AK116+AM116+AO116+AQ116+AS116+AV116+AX116+AZ116+BB116+BD116+BH116+BF116+AE116</f>
        <v>121123</v>
      </c>
      <c r="BK116" s="298"/>
      <c r="BL116" s="299"/>
      <c r="BM116" s="299"/>
      <c r="BN116" s="300"/>
    </row>
    <row r="117" spans="1:66" s="301" customFormat="1" ht="18" x14ac:dyDescent="0.25">
      <c r="A117" s="268" t="s">
        <v>692</v>
      </c>
      <c r="B117" s="317" t="s">
        <v>693</v>
      </c>
      <c r="C117" s="298"/>
      <c r="D117" s="289">
        <f>'MCS Budget - Detailed'!N810+'MCS Budget - Detailed'!N811+'MCS Budget - Detailed'!N812+'MCS Budget - Detailed'!N813+'MCS Budget - Detailed'!N815+'MCS Budget - Detailed'!N816+'MCS Budget - Detailed'!N818+'MCS Budget - Detailed'!N819+'MCS Budget - Detailed'!N821+'MCS Budget - Detailed'!N822+'MCS Budget - Detailed'!N835+'MCS Budget - Detailed'!N836+'MCS Budget - Detailed'!N837+'MCS Budget - Detailed'!N814+'MCS Budget - Detailed'!N817+'MCS Budget - Detailed'!N820+'MCS Budget - Detailed'!N823+'MCS Budget - Detailed'!N824+'MCS Budget - Detailed'!N838</f>
        <v>51801</v>
      </c>
      <c r="E117" s="290"/>
      <c r="F117" s="289">
        <f>SUM('CCS Budget - Detailed'!H314+'CCS Budget - Detailed'!H315+'CCS Budget - Detailed'!H316)</f>
        <v>886</v>
      </c>
      <c r="G117" s="290"/>
      <c r="H117" s="289">
        <v>0</v>
      </c>
      <c r="I117" s="290"/>
      <c r="J117" s="289">
        <v>0</v>
      </c>
      <c r="K117" s="290"/>
      <c r="L117" s="289"/>
      <c r="M117" s="290"/>
      <c r="N117" s="289">
        <v>0</v>
      </c>
      <c r="O117" s="290"/>
      <c r="P117" s="289">
        <v>0</v>
      </c>
      <c r="Q117" s="290"/>
      <c r="R117" s="289">
        <v>0</v>
      </c>
      <c r="S117" s="290"/>
      <c r="T117" s="289">
        <v>0</v>
      </c>
      <c r="U117" s="290"/>
      <c r="V117" s="289">
        <v>0</v>
      </c>
      <c r="W117" s="290"/>
      <c r="X117" s="289">
        <v>0</v>
      </c>
      <c r="Y117" s="290"/>
      <c r="Z117" s="290"/>
      <c r="AA117" s="289">
        <v>0</v>
      </c>
      <c r="AB117" s="290"/>
      <c r="AC117" s="289">
        <v>0</v>
      </c>
      <c r="AD117" s="290"/>
      <c r="AE117" s="289">
        <v>0</v>
      </c>
      <c r="AF117" s="290"/>
      <c r="AG117" s="289">
        <v>0</v>
      </c>
      <c r="AH117" s="290"/>
      <c r="AI117" s="289">
        <v>0</v>
      </c>
      <c r="AJ117" s="290"/>
      <c r="AK117" s="289">
        <v>0</v>
      </c>
      <c r="AL117" s="290"/>
      <c r="AM117" s="289">
        <v>0</v>
      </c>
      <c r="AN117" s="290"/>
      <c r="AO117" s="289">
        <v>0</v>
      </c>
      <c r="AP117" s="290"/>
      <c r="AQ117" s="289">
        <v>0</v>
      </c>
      <c r="AR117" s="290"/>
      <c r="AS117" s="289">
        <v>0</v>
      </c>
      <c r="AT117" s="290"/>
      <c r="AU117" s="290"/>
      <c r="AV117" s="289">
        <v>0</v>
      </c>
      <c r="AW117" s="290"/>
      <c r="AX117" s="289">
        <v>0</v>
      </c>
      <c r="AY117" s="290"/>
      <c r="AZ117" s="289">
        <v>0</v>
      </c>
      <c r="BA117" s="290"/>
      <c r="BB117" s="289">
        <v>0</v>
      </c>
      <c r="BC117" s="290"/>
      <c r="BD117" s="289">
        <v>0</v>
      </c>
      <c r="BE117" s="290"/>
      <c r="BF117" s="289">
        <v>0</v>
      </c>
      <c r="BG117" s="290"/>
      <c r="BH117" s="289">
        <v>0</v>
      </c>
      <c r="BI117" s="291"/>
      <c r="BJ117" s="292">
        <f t="shared" si="7"/>
        <v>52687</v>
      </c>
      <c r="BK117" s="298"/>
      <c r="BL117" s="299"/>
      <c r="BM117" s="299"/>
      <c r="BN117" s="300"/>
    </row>
    <row r="118" spans="1:66" s="301" customFormat="1" ht="18" x14ac:dyDescent="0.25">
      <c r="A118" s="268" t="s">
        <v>694</v>
      </c>
      <c r="B118" s="317" t="s">
        <v>482</v>
      </c>
      <c r="C118" s="298"/>
      <c r="D118" s="289">
        <f>'MCS Budget - Detailed'!N825</f>
        <v>5000</v>
      </c>
      <c r="E118" s="290"/>
      <c r="F118" s="289">
        <v>0</v>
      </c>
      <c r="G118" s="290"/>
      <c r="H118" s="289">
        <v>0</v>
      </c>
      <c r="I118" s="290"/>
      <c r="J118" s="289">
        <v>0</v>
      </c>
      <c r="K118" s="290"/>
      <c r="L118" s="289"/>
      <c r="M118" s="290"/>
      <c r="N118" s="289">
        <v>0</v>
      </c>
      <c r="O118" s="290"/>
      <c r="P118" s="289">
        <v>0</v>
      </c>
      <c r="Q118" s="290"/>
      <c r="R118" s="289">
        <v>0</v>
      </c>
      <c r="S118" s="290"/>
      <c r="T118" s="289">
        <v>0</v>
      </c>
      <c r="U118" s="290"/>
      <c r="V118" s="289">
        <v>0</v>
      </c>
      <c r="W118" s="290"/>
      <c r="X118" s="289">
        <v>0</v>
      </c>
      <c r="Y118" s="290"/>
      <c r="Z118" s="290"/>
      <c r="AA118" s="289">
        <v>0</v>
      </c>
      <c r="AB118" s="290"/>
      <c r="AC118" s="289">
        <v>0</v>
      </c>
      <c r="AD118" s="290"/>
      <c r="AE118" s="289">
        <v>0</v>
      </c>
      <c r="AF118" s="290"/>
      <c r="AG118" s="289">
        <v>0</v>
      </c>
      <c r="AH118" s="290"/>
      <c r="AI118" s="289">
        <v>0</v>
      </c>
      <c r="AJ118" s="290"/>
      <c r="AK118" s="289">
        <v>0</v>
      </c>
      <c r="AL118" s="290"/>
      <c r="AM118" s="289">
        <v>0</v>
      </c>
      <c r="AN118" s="290"/>
      <c r="AO118" s="289">
        <v>0</v>
      </c>
      <c r="AP118" s="290"/>
      <c r="AQ118" s="289">
        <v>0</v>
      </c>
      <c r="AR118" s="290"/>
      <c r="AS118" s="289">
        <v>0</v>
      </c>
      <c r="AT118" s="290"/>
      <c r="AU118" s="290"/>
      <c r="AV118" s="289">
        <v>0</v>
      </c>
      <c r="AW118" s="290"/>
      <c r="AX118" s="289">
        <v>0</v>
      </c>
      <c r="AY118" s="290"/>
      <c r="AZ118" s="289">
        <v>0</v>
      </c>
      <c r="BA118" s="290"/>
      <c r="BB118" s="289">
        <v>0</v>
      </c>
      <c r="BC118" s="290"/>
      <c r="BD118" s="289">
        <v>0</v>
      </c>
      <c r="BE118" s="290"/>
      <c r="BF118" s="289">
        <v>0</v>
      </c>
      <c r="BG118" s="290"/>
      <c r="BH118" s="289">
        <v>0</v>
      </c>
      <c r="BI118" s="291"/>
      <c r="BJ118" s="292">
        <f t="shared" si="7"/>
        <v>5000</v>
      </c>
      <c r="BK118" s="298"/>
      <c r="BL118" s="299"/>
      <c r="BM118" s="299"/>
      <c r="BN118" s="300"/>
    </row>
    <row r="119" spans="1:66" s="301" customFormat="1" ht="18" x14ac:dyDescent="0.25">
      <c r="A119" s="268" t="s">
        <v>749</v>
      </c>
      <c r="B119" s="317" t="s">
        <v>695</v>
      </c>
      <c r="C119" s="298"/>
      <c r="D119" s="289">
        <f>'MCS Budget - Detailed'!N826</f>
        <v>9865</v>
      </c>
      <c r="E119" s="290"/>
      <c r="F119" s="289">
        <f>SUM('CCS Budget - Detailed'!H306+'CCS Budget - Detailed'!H307+'CCS Budget - Detailed'!H308)</f>
        <v>2700</v>
      </c>
      <c r="G119" s="290"/>
      <c r="H119" s="289"/>
      <c r="I119" s="290"/>
      <c r="J119" s="289">
        <v>0</v>
      </c>
      <c r="K119" s="290"/>
      <c r="L119" s="289"/>
      <c r="M119" s="290"/>
      <c r="N119" s="289">
        <v>0</v>
      </c>
      <c r="O119" s="290"/>
      <c r="P119" s="289"/>
      <c r="Q119" s="290"/>
      <c r="R119" s="289">
        <v>0</v>
      </c>
      <c r="S119" s="290"/>
      <c r="T119" s="289"/>
      <c r="U119" s="290"/>
      <c r="V119" s="289"/>
      <c r="W119" s="290"/>
      <c r="X119" s="289"/>
      <c r="Y119" s="290"/>
      <c r="Z119" s="290"/>
      <c r="AA119" s="289"/>
      <c r="AB119" s="290"/>
      <c r="AC119" s="289">
        <v>0</v>
      </c>
      <c r="AD119" s="290"/>
      <c r="AE119" s="289"/>
      <c r="AF119" s="290"/>
      <c r="AG119" s="289">
        <v>0</v>
      </c>
      <c r="AH119" s="290"/>
      <c r="AI119" s="289"/>
      <c r="AJ119" s="290"/>
      <c r="AK119" s="289">
        <v>0</v>
      </c>
      <c r="AL119" s="290"/>
      <c r="AM119" s="289"/>
      <c r="AN119" s="290"/>
      <c r="AO119" s="289"/>
      <c r="AP119" s="290"/>
      <c r="AQ119" s="289"/>
      <c r="AR119" s="290"/>
      <c r="AS119" s="289"/>
      <c r="AT119" s="290"/>
      <c r="AU119" s="290"/>
      <c r="AV119" s="289"/>
      <c r="AW119" s="290"/>
      <c r="AX119" s="289"/>
      <c r="AY119" s="290"/>
      <c r="AZ119" s="289"/>
      <c r="BA119" s="290"/>
      <c r="BB119" s="289"/>
      <c r="BC119" s="290"/>
      <c r="BD119" s="289">
        <v>0</v>
      </c>
      <c r="BE119" s="290"/>
      <c r="BF119" s="289"/>
      <c r="BG119" s="290"/>
      <c r="BH119" s="289"/>
      <c r="BI119" s="291"/>
      <c r="BJ119" s="292">
        <f t="shared" si="7"/>
        <v>12565</v>
      </c>
      <c r="BK119" s="298"/>
      <c r="BL119" s="299"/>
      <c r="BM119" s="299"/>
      <c r="BN119" s="300"/>
    </row>
    <row r="120" spans="1:66" s="301" customFormat="1" ht="18" x14ac:dyDescent="0.25">
      <c r="A120" s="268" t="s">
        <v>750</v>
      </c>
      <c r="B120" s="317" t="s">
        <v>696</v>
      </c>
      <c r="C120" s="298"/>
      <c r="D120" s="289">
        <f>'MCS Budget - Detailed'!N828+'MCS Budget - Detailed'!N827</f>
        <v>7000</v>
      </c>
      <c r="E120" s="290"/>
      <c r="F120" s="289">
        <v>0</v>
      </c>
      <c r="G120" s="290"/>
      <c r="H120" s="289"/>
      <c r="I120" s="290"/>
      <c r="J120" s="289">
        <v>0</v>
      </c>
      <c r="K120" s="290"/>
      <c r="L120" s="289"/>
      <c r="M120" s="290"/>
      <c r="N120" s="289">
        <v>0</v>
      </c>
      <c r="O120" s="290"/>
      <c r="P120" s="289"/>
      <c r="Q120" s="290"/>
      <c r="R120" s="289">
        <v>0</v>
      </c>
      <c r="S120" s="290"/>
      <c r="T120" s="289"/>
      <c r="U120" s="290"/>
      <c r="V120" s="289"/>
      <c r="W120" s="290"/>
      <c r="X120" s="289"/>
      <c r="Y120" s="290"/>
      <c r="Z120" s="290"/>
      <c r="AA120" s="289"/>
      <c r="AB120" s="290"/>
      <c r="AC120" s="289">
        <v>0</v>
      </c>
      <c r="AD120" s="290"/>
      <c r="AE120" s="289"/>
      <c r="AF120" s="290"/>
      <c r="AG120" s="289">
        <v>0</v>
      </c>
      <c r="AH120" s="290"/>
      <c r="AI120" s="289"/>
      <c r="AJ120" s="290"/>
      <c r="AK120" s="289">
        <v>0</v>
      </c>
      <c r="AL120" s="290"/>
      <c r="AM120" s="289"/>
      <c r="AN120" s="290"/>
      <c r="AO120" s="289"/>
      <c r="AP120" s="290"/>
      <c r="AQ120" s="289"/>
      <c r="AR120" s="290"/>
      <c r="AS120" s="289"/>
      <c r="AT120" s="290"/>
      <c r="AU120" s="290"/>
      <c r="AV120" s="289"/>
      <c r="AW120" s="290"/>
      <c r="AX120" s="289"/>
      <c r="AY120" s="290"/>
      <c r="AZ120" s="289"/>
      <c r="BA120" s="290"/>
      <c r="BB120" s="289"/>
      <c r="BC120" s="290"/>
      <c r="BD120" s="289">
        <v>0</v>
      </c>
      <c r="BE120" s="290"/>
      <c r="BF120" s="289"/>
      <c r="BG120" s="290"/>
      <c r="BH120" s="289"/>
      <c r="BI120" s="291"/>
      <c r="BJ120" s="292">
        <f t="shared" si="7"/>
        <v>7000</v>
      </c>
      <c r="BK120" s="298"/>
      <c r="BL120" s="299"/>
      <c r="BM120" s="299"/>
      <c r="BN120" s="300"/>
    </row>
    <row r="121" spans="1:66" s="301" customFormat="1" ht="18" x14ac:dyDescent="0.25">
      <c r="A121" s="268" t="s">
        <v>697</v>
      </c>
      <c r="B121" s="317" t="s">
        <v>624</v>
      </c>
      <c r="C121" s="298"/>
      <c r="D121" s="289">
        <f>'MCS Budget - Detailed'!N829+'MCS Budget - Detailed'!N830+'MCS Budget - Detailed'!N839</f>
        <v>24150</v>
      </c>
      <c r="E121" s="290"/>
      <c r="F121" s="289">
        <f>SUM('CCS Budget - Detailed'!H309+'CCS Budget - Detailed'!H310)</f>
        <v>8500</v>
      </c>
      <c r="G121" s="290"/>
      <c r="H121" s="289">
        <v>0</v>
      </c>
      <c r="I121" s="290"/>
      <c r="J121" s="289">
        <v>0</v>
      </c>
      <c r="K121" s="290"/>
      <c r="L121" s="289"/>
      <c r="M121" s="290"/>
      <c r="N121" s="289">
        <v>0</v>
      </c>
      <c r="O121" s="290"/>
      <c r="P121" s="289">
        <v>0</v>
      </c>
      <c r="Q121" s="290"/>
      <c r="R121" s="289">
        <v>0</v>
      </c>
      <c r="S121" s="290"/>
      <c r="T121" s="289">
        <v>0</v>
      </c>
      <c r="U121" s="290"/>
      <c r="V121" s="289">
        <v>0</v>
      </c>
      <c r="W121" s="290"/>
      <c r="X121" s="289">
        <v>0</v>
      </c>
      <c r="Y121" s="290"/>
      <c r="Z121" s="290"/>
      <c r="AA121" s="289">
        <v>0</v>
      </c>
      <c r="AB121" s="290"/>
      <c r="AC121" s="289">
        <v>0</v>
      </c>
      <c r="AD121" s="290"/>
      <c r="AE121" s="289">
        <v>0</v>
      </c>
      <c r="AF121" s="290"/>
      <c r="AG121" s="289">
        <v>0</v>
      </c>
      <c r="AH121" s="290"/>
      <c r="AI121" s="289">
        <v>0</v>
      </c>
      <c r="AJ121" s="290"/>
      <c r="AK121" s="289">
        <v>0</v>
      </c>
      <c r="AL121" s="290"/>
      <c r="AM121" s="289">
        <v>0</v>
      </c>
      <c r="AN121" s="290"/>
      <c r="AO121" s="289">
        <v>0</v>
      </c>
      <c r="AP121" s="290"/>
      <c r="AQ121" s="289">
        <v>0</v>
      </c>
      <c r="AR121" s="290"/>
      <c r="AS121" s="289">
        <v>0</v>
      </c>
      <c r="AT121" s="290"/>
      <c r="AU121" s="290"/>
      <c r="AV121" s="289">
        <v>0</v>
      </c>
      <c r="AW121" s="290"/>
      <c r="AX121" s="289">
        <v>0</v>
      </c>
      <c r="AY121" s="290"/>
      <c r="AZ121" s="289">
        <v>0</v>
      </c>
      <c r="BA121" s="290"/>
      <c r="BB121" s="289">
        <v>0</v>
      </c>
      <c r="BC121" s="290"/>
      <c r="BD121" s="289">
        <v>0</v>
      </c>
      <c r="BE121" s="290"/>
      <c r="BF121" s="289">
        <v>0</v>
      </c>
      <c r="BG121" s="290"/>
      <c r="BH121" s="289">
        <v>0</v>
      </c>
      <c r="BI121" s="291"/>
      <c r="BJ121" s="292">
        <f t="shared" si="7"/>
        <v>32650</v>
      </c>
      <c r="BK121" s="298"/>
      <c r="BL121" s="299"/>
      <c r="BM121" s="299"/>
      <c r="BN121" s="300"/>
    </row>
    <row r="122" spans="1:66" s="301" customFormat="1" ht="18" x14ac:dyDescent="0.25">
      <c r="A122" s="268" t="s">
        <v>698</v>
      </c>
      <c r="B122" s="317" t="s">
        <v>492</v>
      </c>
      <c r="C122" s="298"/>
      <c r="D122" s="289">
        <f>'MCS Budget - Detailed'!N832+'MCS Budget - Detailed'!N831</f>
        <v>3000</v>
      </c>
      <c r="E122" s="290"/>
      <c r="F122" s="289">
        <v>0</v>
      </c>
      <c r="G122" s="290"/>
      <c r="H122" s="289">
        <v>0</v>
      </c>
      <c r="I122" s="290"/>
      <c r="J122" s="289">
        <v>0</v>
      </c>
      <c r="K122" s="290"/>
      <c r="L122" s="289"/>
      <c r="M122" s="290"/>
      <c r="N122" s="289">
        <v>0</v>
      </c>
      <c r="O122" s="290"/>
      <c r="P122" s="289">
        <v>0</v>
      </c>
      <c r="Q122" s="290"/>
      <c r="R122" s="289">
        <v>0</v>
      </c>
      <c r="S122" s="290"/>
      <c r="T122" s="289">
        <v>0</v>
      </c>
      <c r="U122" s="290"/>
      <c r="V122" s="289">
        <v>0</v>
      </c>
      <c r="W122" s="290"/>
      <c r="X122" s="289">
        <v>0</v>
      </c>
      <c r="Y122" s="290"/>
      <c r="Z122" s="290"/>
      <c r="AA122" s="289">
        <v>0</v>
      </c>
      <c r="AB122" s="290"/>
      <c r="AC122" s="289">
        <v>0</v>
      </c>
      <c r="AD122" s="290"/>
      <c r="AE122" s="289">
        <v>0</v>
      </c>
      <c r="AF122" s="290"/>
      <c r="AG122" s="289">
        <v>0</v>
      </c>
      <c r="AH122" s="290"/>
      <c r="AI122" s="289">
        <v>0</v>
      </c>
      <c r="AJ122" s="290"/>
      <c r="AK122" s="289">
        <v>0</v>
      </c>
      <c r="AL122" s="290"/>
      <c r="AM122" s="289">
        <v>0</v>
      </c>
      <c r="AN122" s="290"/>
      <c r="AO122" s="289">
        <v>0</v>
      </c>
      <c r="AP122" s="290"/>
      <c r="AQ122" s="289">
        <v>0</v>
      </c>
      <c r="AR122" s="290"/>
      <c r="AS122" s="289">
        <v>0</v>
      </c>
      <c r="AT122" s="290"/>
      <c r="AU122" s="290"/>
      <c r="AV122" s="289">
        <v>0</v>
      </c>
      <c r="AW122" s="290"/>
      <c r="AX122" s="289">
        <v>0</v>
      </c>
      <c r="AY122" s="290"/>
      <c r="AZ122" s="289">
        <v>0</v>
      </c>
      <c r="BA122" s="290"/>
      <c r="BB122" s="289">
        <v>0</v>
      </c>
      <c r="BC122" s="290"/>
      <c r="BD122" s="289">
        <v>0</v>
      </c>
      <c r="BE122" s="290"/>
      <c r="BF122" s="289">
        <v>0</v>
      </c>
      <c r="BG122" s="290"/>
      <c r="BH122" s="289">
        <v>0</v>
      </c>
      <c r="BI122" s="291"/>
      <c r="BJ122" s="292">
        <f t="shared" si="7"/>
        <v>3000</v>
      </c>
      <c r="BK122" s="298"/>
      <c r="BL122" s="299"/>
      <c r="BM122" s="299"/>
      <c r="BN122" s="300"/>
    </row>
    <row r="123" spans="1:66" s="301" customFormat="1" ht="18" x14ac:dyDescent="0.25">
      <c r="A123" s="268" t="s">
        <v>699</v>
      </c>
      <c r="B123" s="317" t="s">
        <v>700</v>
      </c>
      <c r="C123" s="298"/>
      <c r="D123" s="289">
        <v>0</v>
      </c>
      <c r="E123" s="290"/>
      <c r="F123" s="289">
        <v>0</v>
      </c>
      <c r="G123" s="290"/>
      <c r="H123" s="289">
        <v>0</v>
      </c>
      <c r="I123" s="290"/>
      <c r="J123" s="289">
        <v>0</v>
      </c>
      <c r="K123" s="290"/>
      <c r="L123" s="289"/>
      <c r="M123" s="290"/>
      <c r="N123" s="289">
        <v>0</v>
      </c>
      <c r="O123" s="290"/>
      <c r="P123" s="289">
        <v>0</v>
      </c>
      <c r="Q123" s="290"/>
      <c r="R123" s="289">
        <v>0</v>
      </c>
      <c r="S123" s="290"/>
      <c r="T123" s="289">
        <v>0</v>
      </c>
      <c r="U123" s="290"/>
      <c r="V123" s="289">
        <v>0</v>
      </c>
      <c r="W123" s="290"/>
      <c r="X123" s="289">
        <v>0</v>
      </c>
      <c r="Y123" s="290"/>
      <c r="Z123" s="290"/>
      <c r="AA123" s="289">
        <v>0</v>
      </c>
      <c r="AB123" s="290"/>
      <c r="AC123" s="289">
        <v>0</v>
      </c>
      <c r="AD123" s="290"/>
      <c r="AE123" s="289">
        <v>0</v>
      </c>
      <c r="AF123" s="290"/>
      <c r="AG123" s="289">
        <v>0</v>
      </c>
      <c r="AH123" s="290"/>
      <c r="AI123" s="289">
        <v>0</v>
      </c>
      <c r="AJ123" s="290"/>
      <c r="AK123" s="289">
        <v>0</v>
      </c>
      <c r="AL123" s="290"/>
      <c r="AM123" s="289">
        <v>0</v>
      </c>
      <c r="AN123" s="290"/>
      <c r="AO123" s="289">
        <v>0</v>
      </c>
      <c r="AP123" s="290"/>
      <c r="AQ123" s="289">
        <v>0</v>
      </c>
      <c r="AR123" s="290"/>
      <c r="AS123" s="289">
        <v>0</v>
      </c>
      <c r="AT123" s="290"/>
      <c r="AU123" s="290"/>
      <c r="AV123" s="289">
        <v>0</v>
      </c>
      <c r="AW123" s="290"/>
      <c r="AX123" s="289">
        <v>0</v>
      </c>
      <c r="AY123" s="290"/>
      <c r="AZ123" s="289">
        <v>0</v>
      </c>
      <c r="BA123" s="290"/>
      <c r="BB123" s="289">
        <v>0</v>
      </c>
      <c r="BC123" s="290"/>
      <c r="BD123" s="289">
        <v>0</v>
      </c>
      <c r="BE123" s="290"/>
      <c r="BF123" s="289">
        <v>0</v>
      </c>
      <c r="BG123" s="290"/>
      <c r="BH123" s="289">
        <v>0</v>
      </c>
      <c r="BI123" s="291"/>
      <c r="BJ123" s="292">
        <f t="shared" si="7"/>
        <v>0</v>
      </c>
      <c r="BK123" s="298"/>
      <c r="BL123" s="299"/>
      <c r="BM123" s="299"/>
      <c r="BN123" s="300"/>
    </row>
    <row r="124" spans="1:66" s="301" customFormat="1" ht="18.75" thickBot="1" x14ac:dyDescent="0.3">
      <c r="A124" s="268" t="s">
        <v>751</v>
      </c>
      <c r="B124" s="317" t="s">
        <v>506</v>
      </c>
      <c r="C124" s="298"/>
      <c r="D124" s="289">
        <v>0</v>
      </c>
      <c r="E124" s="290"/>
      <c r="F124" s="289">
        <v>0</v>
      </c>
      <c r="G124" s="290"/>
      <c r="H124" s="289"/>
      <c r="I124" s="290"/>
      <c r="J124" s="289">
        <v>0</v>
      </c>
      <c r="K124" s="290"/>
      <c r="L124" s="289"/>
      <c r="M124" s="290"/>
      <c r="N124" s="289">
        <v>0</v>
      </c>
      <c r="O124" s="290"/>
      <c r="P124" s="289"/>
      <c r="Q124" s="290"/>
      <c r="R124" s="289">
        <v>0</v>
      </c>
      <c r="S124" s="290"/>
      <c r="T124" s="289"/>
      <c r="U124" s="290"/>
      <c r="V124" s="289"/>
      <c r="W124" s="290"/>
      <c r="X124" s="289"/>
      <c r="Y124" s="290"/>
      <c r="Z124" s="290"/>
      <c r="AA124" s="289"/>
      <c r="AB124" s="290"/>
      <c r="AC124" s="289">
        <v>0</v>
      </c>
      <c r="AD124" s="290"/>
      <c r="AE124" s="289"/>
      <c r="AF124" s="290"/>
      <c r="AG124" s="289">
        <v>0</v>
      </c>
      <c r="AH124" s="290"/>
      <c r="AI124" s="289"/>
      <c r="AJ124" s="290"/>
      <c r="AK124" s="289">
        <v>0</v>
      </c>
      <c r="AL124" s="290"/>
      <c r="AM124" s="289"/>
      <c r="AN124" s="290"/>
      <c r="AO124" s="289"/>
      <c r="AP124" s="290"/>
      <c r="AQ124" s="289"/>
      <c r="AR124" s="290"/>
      <c r="AS124" s="289"/>
      <c r="AT124" s="290"/>
      <c r="AU124" s="290"/>
      <c r="AV124" s="289"/>
      <c r="AW124" s="290"/>
      <c r="AX124" s="289"/>
      <c r="AY124" s="290"/>
      <c r="AZ124" s="289"/>
      <c r="BA124" s="290"/>
      <c r="BB124" s="289"/>
      <c r="BC124" s="290"/>
      <c r="BD124" s="289">
        <v>0</v>
      </c>
      <c r="BE124" s="290"/>
      <c r="BF124" s="289"/>
      <c r="BG124" s="290"/>
      <c r="BH124" s="289"/>
      <c r="BI124" s="291"/>
      <c r="BJ124" s="292">
        <f t="shared" si="7"/>
        <v>0</v>
      </c>
      <c r="BK124" s="298"/>
      <c r="BL124" s="299"/>
      <c r="BM124" s="299"/>
      <c r="BN124" s="300"/>
    </row>
    <row r="125" spans="1:66" s="301" customFormat="1" ht="18.75" thickBot="1" x14ac:dyDescent="0.3">
      <c r="A125" s="303" t="s">
        <v>716</v>
      </c>
      <c r="B125" s="312"/>
      <c r="C125" s="307"/>
      <c r="D125" s="306">
        <f>SUM(D116:D124)</f>
        <v>217939</v>
      </c>
      <c r="E125" s="307"/>
      <c r="F125" s="306">
        <f>SUM(F116:F124)</f>
        <v>16086</v>
      </c>
      <c r="G125" s="307"/>
      <c r="H125" s="306">
        <f>SUM(H116:H123)</f>
        <v>0</v>
      </c>
      <c r="I125" s="307"/>
      <c r="J125" s="306">
        <f>SUM(J116:J124)</f>
        <v>0</v>
      </c>
      <c r="K125" s="307"/>
      <c r="L125" s="306">
        <f>SUM(L116:L123)</f>
        <v>0</v>
      </c>
      <c r="M125" s="307"/>
      <c r="N125" s="306">
        <f>SUM(N116:N124)</f>
        <v>0</v>
      </c>
      <c r="O125" s="307"/>
      <c r="P125" s="306">
        <f>SUM(P116:P123)</f>
        <v>0</v>
      </c>
      <c r="Q125" s="307"/>
      <c r="R125" s="306">
        <f>SUM(R116:R124)</f>
        <v>0</v>
      </c>
      <c r="S125" s="307"/>
      <c r="T125" s="306">
        <f>SUM(T116:T123)</f>
        <v>0</v>
      </c>
      <c r="U125" s="307"/>
      <c r="V125" s="306">
        <f>SUM(V116:V123)</f>
        <v>0</v>
      </c>
      <c r="W125" s="307"/>
      <c r="X125" s="306">
        <f>SUM(X116:X123)</f>
        <v>0</v>
      </c>
      <c r="Y125" s="307"/>
      <c r="Z125" s="307"/>
      <c r="AA125" s="306">
        <f>SUM(AA116:AA123)</f>
        <v>0</v>
      </c>
      <c r="AB125" s="307"/>
      <c r="AC125" s="306">
        <f>SUM(AC116:AC124)</f>
        <v>0</v>
      </c>
      <c r="AD125" s="307"/>
      <c r="AE125" s="306">
        <f>SUM(AE116:AE123)</f>
        <v>0</v>
      </c>
      <c r="AF125" s="307"/>
      <c r="AG125" s="306">
        <f>SUM(AG116:AG124)</f>
        <v>0</v>
      </c>
      <c r="AH125" s="307"/>
      <c r="AI125" s="306">
        <f>SUM(AI116:AI123)</f>
        <v>0</v>
      </c>
      <c r="AJ125" s="307"/>
      <c r="AK125" s="306">
        <f>SUM(AK116:AK124)</f>
        <v>0</v>
      </c>
      <c r="AL125" s="307"/>
      <c r="AM125" s="306">
        <f>SUM(AM116:AM123)</f>
        <v>0</v>
      </c>
      <c r="AN125" s="307"/>
      <c r="AO125" s="306">
        <f>SUM(AO116:AO123)</f>
        <v>0</v>
      </c>
      <c r="AP125" s="307"/>
      <c r="AQ125" s="306">
        <f>SUM(AQ116:AQ123)</f>
        <v>0</v>
      </c>
      <c r="AR125" s="307"/>
      <c r="AS125" s="306">
        <f>SUM(AS116:AS123)</f>
        <v>0</v>
      </c>
      <c r="AT125" s="307"/>
      <c r="AU125" s="307"/>
      <c r="AV125" s="306">
        <f>SUM(AV116:AV123)</f>
        <v>0</v>
      </c>
      <c r="AW125" s="307"/>
      <c r="AX125" s="306">
        <f>SUM(AX116:AX123)</f>
        <v>0</v>
      </c>
      <c r="AY125" s="307"/>
      <c r="AZ125" s="306">
        <f>SUM(AZ116:AZ123)</f>
        <v>0</v>
      </c>
      <c r="BA125" s="307"/>
      <c r="BB125" s="306">
        <f>SUM(BB116:BB123)</f>
        <v>0</v>
      </c>
      <c r="BC125" s="307"/>
      <c r="BD125" s="306">
        <f>SUM(BD116:BD124)</f>
        <v>0</v>
      </c>
      <c r="BE125" s="307"/>
      <c r="BF125" s="306">
        <f>SUM(BF116:BF123)</f>
        <v>0</v>
      </c>
      <c r="BG125" s="307"/>
      <c r="BH125" s="306">
        <f>SUM(BH116:BH123)</f>
        <v>0</v>
      </c>
      <c r="BI125" s="307"/>
      <c r="BJ125" s="306">
        <f>D125+F125+H125+J125+X125+N125+P125+R125+T125+V125+AA125+AC125+AG125+AI125+AK125+AM125+AO125+AQ125+AS125+AV125+AX125+AZ125+BB125+BD125+BH125+BF125+AE125</f>
        <v>234025</v>
      </c>
      <c r="BK125" s="307"/>
      <c r="BL125" s="308"/>
      <c r="BM125" s="308"/>
      <c r="BN125" s="300"/>
    </row>
    <row r="126" spans="1:66" s="301" customFormat="1" ht="18" x14ac:dyDescent="0.25">
      <c r="A126" s="268"/>
      <c r="B126" s="294"/>
      <c r="C126" s="298"/>
      <c r="D126" s="292"/>
      <c r="E126" s="291"/>
      <c r="F126" s="292"/>
      <c r="G126" s="291"/>
      <c r="H126" s="292"/>
      <c r="I126" s="291"/>
      <c r="J126" s="292"/>
      <c r="K126" s="291"/>
      <c r="L126" s="309"/>
      <c r="M126" s="291"/>
      <c r="N126" s="292"/>
      <c r="O126" s="291"/>
      <c r="P126" s="292"/>
      <c r="Q126" s="291"/>
      <c r="R126" s="292"/>
      <c r="S126" s="291"/>
      <c r="T126" s="292"/>
      <c r="U126" s="291"/>
      <c r="V126" s="292"/>
      <c r="W126" s="291"/>
      <c r="X126" s="292"/>
      <c r="Y126" s="291"/>
      <c r="Z126" s="291"/>
      <c r="AA126" s="292"/>
      <c r="AB126" s="291"/>
      <c r="AC126" s="292"/>
      <c r="AD126" s="291"/>
      <c r="AE126" s="292"/>
      <c r="AF126" s="291"/>
      <c r="AG126" s="292"/>
      <c r="AH126" s="291"/>
      <c r="AI126" s="292"/>
      <c r="AJ126" s="291"/>
      <c r="AK126" s="292"/>
      <c r="AL126" s="291"/>
      <c r="AM126" s="292"/>
      <c r="AN126" s="291"/>
      <c r="AO126" s="292"/>
      <c r="AP126" s="291"/>
      <c r="AQ126" s="292"/>
      <c r="AR126" s="291"/>
      <c r="AS126" s="292"/>
      <c r="AT126" s="291"/>
      <c r="AU126" s="291"/>
      <c r="AV126" s="292"/>
      <c r="AW126" s="291"/>
      <c r="AX126" s="292"/>
      <c r="AY126" s="291"/>
      <c r="AZ126" s="292"/>
      <c r="BA126" s="291"/>
      <c r="BB126" s="292"/>
      <c r="BC126" s="291"/>
      <c r="BD126" s="292"/>
      <c r="BE126" s="291"/>
      <c r="BF126" s="292"/>
      <c r="BG126" s="291"/>
      <c r="BH126" s="292"/>
      <c r="BI126" s="291"/>
      <c r="BJ126" s="300"/>
      <c r="BK126" s="298"/>
      <c r="BL126" s="299"/>
      <c r="BM126" s="299"/>
      <c r="BN126" s="300"/>
    </row>
    <row r="127" spans="1:66" s="301" customFormat="1" ht="36" x14ac:dyDescent="0.25">
      <c r="A127" s="268" t="s">
        <v>717</v>
      </c>
      <c r="B127" s="294"/>
      <c r="C127" s="298"/>
      <c r="D127" s="292"/>
      <c r="E127" s="291"/>
      <c r="F127" s="292"/>
      <c r="G127" s="291"/>
      <c r="H127" s="292"/>
      <c r="I127" s="291"/>
      <c r="J127" s="292"/>
      <c r="K127" s="291"/>
      <c r="L127" s="309"/>
      <c r="M127" s="291"/>
      <c r="N127" s="292"/>
      <c r="O127" s="291"/>
      <c r="P127" s="292"/>
      <c r="Q127" s="291"/>
      <c r="R127" s="292"/>
      <c r="S127" s="291"/>
      <c r="T127" s="292"/>
      <c r="U127" s="291"/>
      <c r="V127" s="292"/>
      <c r="W127" s="291"/>
      <c r="X127" s="292"/>
      <c r="Y127" s="291"/>
      <c r="Z127" s="291"/>
      <c r="AA127" s="292"/>
      <c r="AB127" s="291"/>
      <c r="AC127" s="292"/>
      <c r="AD127" s="291"/>
      <c r="AE127" s="292"/>
      <c r="AF127" s="291"/>
      <c r="AG127" s="292"/>
      <c r="AH127" s="291"/>
      <c r="AI127" s="292"/>
      <c r="AJ127" s="291"/>
      <c r="AK127" s="292"/>
      <c r="AL127" s="291"/>
      <c r="AM127" s="292"/>
      <c r="AN127" s="291"/>
      <c r="AO127" s="292"/>
      <c r="AP127" s="291"/>
      <c r="AQ127" s="292"/>
      <c r="AR127" s="291"/>
      <c r="AS127" s="292"/>
      <c r="AT127" s="291"/>
      <c r="AU127" s="291"/>
      <c r="AV127" s="292"/>
      <c r="AW127" s="291"/>
      <c r="AX127" s="292"/>
      <c r="AY127" s="291"/>
      <c r="AZ127" s="292"/>
      <c r="BA127" s="291"/>
      <c r="BB127" s="292"/>
      <c r="BC127" s="291"/>
      <c r="BD127" s="292"/>
      <c r="BE127" s="291"/>
      <c r="BF127" s="292"/>
      <c r="BG127" s="291"/>
      <c r="BH127" s="292"/>
      <c r="BI127" s="291"/>
      <c r="BJ127" s="300"/>
      <c r="BK127" s="298"/>
      <c r="BL127" s="299"/>
      <c r="BM127" s="299"/>
      <c r="BN127" s="300"/>
    </row>
    <row r="128" spans="1:66" s="301" customFormat="1" ht="18" x14ac:dyDescent="0.25">
      <c r="A128" s="268" t="s">
        <v>690</v>
      </c>
      <c r="B128" s="317" t="s">
        <v>691</v>
      </c>
      <c r="C128" s="298"/>
      <c r="D128" s="289">
        <f>'MCS Budget - Detailed'!N757</f>
        <v>38587</v>
      </c>
      <c r="E128" s="290"/>
      <c r="F128" s="289">
        <f>'CCS Budget - Detailed'!H319</f>
        <v>34423</v>
      </c>
      <c r="G128" s="290"/>
      <c r="H128" s="289">
        <v>0</v>
      </c>
      <c r="I128" s="290"/>
      <c r="J128" s="289">
        <v>0</v>
      </c>
      <c r="K128" s="290"/>
      <c r="L128" s="289"/>
      <c r="M128" s="290"/>
      <c r="N128" s="289">
        <v>0</v>
      </c>
      <c r="O128" s="290"/>
      <c r="P128" s="289">
        <v>0</v>
      </c>
      <c r="Q128" s="290"/>
      <c r="R128" s="289">
        <v>0</v>
      </c>
      <c r="S128" s="290"/>
      <c r="T128" s="289">
        <v>0</v>
      </c>
      <c r="U128" s="290"/>
      <c r="V128" s="289">
        <v>0</v>
      </c>
      <c r="W128" s="290"/>
      <c r="X128" s="289">
        <v>0</v>
      </c>
      <c r="Y128" s="290"/>
      <c r="Z128" s="290"/>
      <c r="AA128" s="289">
        <v>0</v>
      </c>
      <c r="AB128" s="290"/>
      <c r="AC128" s="289">
        <v>0</v>
      </c>
      <c r="AD128" s="290"/>
      <c r="AE128" s="289">
        <v>0</v>
      </c>
      <c r="AF128" s="290"/>
      <c r="AG128" s="289">
        <v>0</v>
      </c>
      <c r="AH128" s="290"/>
      <c r="AI128" s="289">
        <v>0</v>
      </c>
      <c r="AJ128" s="290"/>
      <c r="AK128" s="289">
        <v>0</v>
      </c>
      <c r="AL128" s="290"/>
      <c r="AM128" s="289">
        <v>0</v>
      </c>
      <c r="AN128" s="290"/>
      <c r="AO128" s="289">
        <v>0</v>
      </c>
      <c r="AP128" s="290"/>
      <c r="AQ128" s="289">
        <v>0</v>
      </c>
      <c r="AR128" s="290"/>
      <c r="AS128" s="289">
        <v>0</v>
      </c>
      <c r="AT128" s="290"/>
      <c r="AU128" s="290"/>
      <c r="AV128" s="289">
        <v>0</v>
      </c>
      <c r="AW128" s="290"/>
      <c r="AX128" s="289">
        <v>0</v>
      </c>
      <c r="AY128" s="290"/>
      <c r="AZ128" s="289">
        <v>0</v>
      </c>
      <c r="BA128" s="290"/>
      <c r="BB128" s="289">
        <v>0</v>
      </c>
      <c r="BC128" s="290"/>
      <c r="BD128" s="289">
        <v>0</v>
      </c>
      <c r="BE128" s="290"/>
      <c r="BF128" s="289">
        <v>0</v>
      </c>
      <c r="BG128" s="290"/>
      <c r="BH128" s="289">
        <v>0</v>
      </c>
      <c r="BI128" s="291"/>
      <c r="BJ128" s="292">
        <f t="shared" ref="BJ128:BJ136" si="8">D128+F128+H128+J128+X128+N128+P128+R128+T128+V128+AA128+AC128+AG128+AI128+AK128+AM128+AO128+AQ128+AS128+AV128+AX128+AZ128+BB128+BD128+BH128+BF128+AE128</f>
        <v>73010</v>
      </c>
      <c r="BK128" s="298"/>
      <c r="BL128" s="299"/>
      <c r="BM128" s="299"/>
      <c r="BN128" s="300"/>
    </row>
    <row r="129" spans="1:66" s="301" customFormat="1" ht="18" x14ac:dyDescent="0.25">
      <c r="A129" s="268" t="s">
        <v>692</v>
      </c>
      <c r="B129" s="317" t="s">
        <v>693</v>
      </c>
      <c r="C129" s="298"/>
      <c r="D129" s="289">
        <f>'MCS Budget - Detailed'!N758+'MCS Budget - Detailed'!N759+'MCS Budget - Detailed'!N760+'MCS Budget - Detailed'!N761+'MCS Budget - Detailed'!N762+'MCS Budget - Detailed'!N763</f>
        <v>14743</v>
      </c>
      <c r="E129" s="290"/>
      <c r="F129" s="289">
        <f>SUM('CCS Budget - Detailed'!H321+'CCS Budget - Detailed'!H322+'CCS Budget - Detailed'!H323+'CCS Budget - Detailed'!H320)</f>
        <v>13794</v>
      </c>
      <c r="G129" s="290"/>
      <c r="H129" s="289">
        <v>0</v>
      </c>
      <c r="I129" s="290"/>
      <c r="J129" s="289">
        <v>0</v>
      </c>
      <c r="K129" s="290"/>
      <c r="L129" s="289"/>
      <c r="M129" s="290"/>
      <c r="N129" s="289">
        <v>0</v>
      </c>
      <c r="O129" s="290"/>
      <c r="P129" s="289">
        <v>0</v>
      </c>
      <c r="Q129" s="290"/>
      <c r="R129" s="289">
        <v>0</v>
      </c>
      <c r="S129" s="290"/>
      <c r="T129" s="289">
        <v>0</v>
      </c>
      <c r="U129" s="290"/>
      <c r="V129" s="289">
        <v>0</v>
      </c>
      <c r="W129" s="290"/>
      <c r="X129" s="289">
        <v>0</v>
      </c>
      <c r="Y129" s="290"/>
      <c r="Z129" s="290"/>
      <c r="AA129" s="289">
        <v>0</v>
      </c>
      <c r="AB129" s="290"/>
      <c r="AC129" s="289">
        <v>0</v>
      </c>
      <c r="AD129" s="290"/>
      <c r="AE129" s="289">
        <v>0</v>
      </c>
      <c r="AF129" s="290"/>
      <c r="AG129" s="289">
        <v>0</v>
      </c>
      <c r="AH129" s="290"/>
      <c r="AI129" s="289">
        <v>0</v>
      </c>
      <c r="AJ129" s="290"/>
      <c r="AK129" s="289">
        <v>0</v>
      </c>
      <c r="AL129" s="290"/>
      <c r="AM129" s="289">
        <v>0</v>
      </c>
      <c r="AN129" s="290"/>
      <c r="AO129" s="289">
        <v>0</v>
      </c>
      <c r="AP129" s="290"/>
      <c r="AQ129" s="289">
        <v>0</v>
      </c>
      <c r="AR129" s="290"/>
      <c r="AS129" s="289">
        <v>0</v>
      </c>
      <c r="AT129" s="290"/>
      <c r="AU129" s="290"/>
      <c r="AV129" s="289">
        <v>0</v>
      </c>
      <c r="AW129" s="290"/>
      <c r="AX129" s="289">
        <v>0</v>
      </c>
      <c r="AY129" s="290"/>
      <c r="AZ129" s="289">
        <v>0</v>
      </c>
      <c r="BA129" s="290"/>
      <c r="BB129" s="289">
        <v>0</v>
      </c>
      <c r="BC129" s="290"/>
      <c r="BD129" s="289">
        <v>0</v>
      </c>
      <c r="BE129" s="290"/>
      <c r="BF129" s="289">
        <v>0</v>
      </c>
      <c r="BG129" s="290"/>
      <c r="BH129" s="289">
        <v>0</v>
      </c>
      <c r="BI129" s="291"/>
      <c r="BJ129" s="292">
        <f t="shared" si="8"/>
        <v>28537</v>
      </c>
      <c r="BK129" s="298"/>
      <c r="BL129" s="299"/>
      <c r="BM129" s="299"/>
      <c r="BN129" s="300"/>
    </row>
    <row r="130" spans="1:66" s="301" customFormat="1" ht="18" x14ac:dyDescent="0.25">
      <c r="A130" s="268" t="s">
        <v>694</v>
      </c>
      <c r="B130" s="317" t="s">
        <v>482</v>
      </c>
      <c r="C130" s="298"/>
      <c r="D130" s="289">
        <f>'MCS Budget - Detailed'!N764</f>
        <v>9500</v>
      </c>
      <c r="E130" s="290"/>
      <c r="F130" s="289">
        <v>0</v>
      </c>
      <c r="G130" s="290"/>
      <c r="H130" s="289">
        <v>0</v>
      </c>
      <c r="I130" s="290"/>
      <c r="J130" s="289">
        <f>'MCS Budget - Detailed'!N911</f>
        <v>0</v>
      </c>
      <c r="K130" s="290"/>
      <c r="L130" s="289"/>
      <c r="M130" s="290"/>
      <c r="N130" s="289">
        <v>0</v>
      </c>
      <c r="O130" s="290"/>
      <c r="P130" s="289">
        <v>0</v>
      </c>
      <c r="Q130" s="290"/>
      <c r="R130" s="289">
        <v>0</v>
      </c>
      <c r="S130" s="290"/>
      <c r="T130" s="289">
        <v>0</v>
      </c>
      <c r="U130" s="290"/>
      <c r="V130" s="289">
        <v>0</v>
      </c>
      <c r="W130" s="290"/>
      <c r="X130" s="289">
        <v>0</v>
      </c>
      <c r="Y130" s="290"/>
      <c r="Z130" s="290"/>
      <c r="AA130" s="289">
        <v>0</v>
      </c>
      <c r="AB130" s="290"/>
      <c r="AC130" s="289">
        <v>0</v>
      </c>
      <c r="AD130" s="290"/>
      <c r="AE130" s="289">
        <v>0</v>
      </c>
      <c r="AF130" s="290"/>
      <c r="AG130" s="289">
        <v>0</v>
      </c>
      <c r="AH130" s="290"/>
      <c r="AI130" s="289">
        <v>0</v>
      </c>
      <c r="AJ130" s="290"/>
      <c r="AK130" s="289">
        <v>0</v>
      </c>
      <c r="AL130" s="290"/>
      <c r="AM130" s="289">
        <v>0</v>
      </c>
      <c r="AN130" s="290"/>
      <c r="AO130" s="289">
        <v>0</v>
      </c>
      <c r="AP130" s="290"/>
      <c r="AQ130" s="289">
        <v>0</v>
      </c>
      <c r="AR130" s="290"/>
      <c r="AS130" s="289">
        <v>0</v>
      </c>
      <c r="AT130" s="290"/>
      <c r="AU130" s="290"/>
      <c r="AV130" s="289">
        <v>0</v>
      </c>
      <c r="AW130" s="290"/>
      <c r="AX130" s="289">
        <v>0</v>
      </c>
      <c r="AY130" s="290"/>
      <c r="AZ130" s="289">
        <v>0</v>
      </c>
      <c r="BA130" s="290"/>
      <c r="BB130" s="289">
        <v>0</v>
      </c>
      <c r="BC130" s="290"/>
      <c r="BD130" s="289">
        <v>0</v>
      </c>
      <c r="BE130" s="290"/>
      <c r="BF130" s="289">
        <v>0</v>
      </c>
      <c r="BG130" s="290"/>
      <c r="BH130" s="289">
        <v>0</v>
      </c>
      <c r="BI130" s="291"/>
      <c r="BJ130" s="292">
        <f t="shared" si="8"/>
        <v>9500</v>
      </c>
      <c r="BK130" s="298"/>
      <c r="BL130" s="299"/>
      <c r="BM130" s="299"/>
      <c r="BN130" s="300"/>
    </row>
    <row r="131" spans="1:66" s="301" customFormat="1" ht="18" x14ac:dyDescent="0.25">
      <c r="A131" s="268" t="s">
        <v>749</v>
      </c>
      <c r="B131" s="317" t="s">
        <v>695</v>
      </c>
      <c r="C131" s="298"/>
      <c r="D131" s="289">
        <v>0</v>
      </c>
      <c r="E131" s="290"/>
      <c r="F131" s="289">
        <v>0</v>
      </c>
      <c r="G131" s="290"/>
      <c r="H131" s="289"/>
      <c r="I131" s="290"/>
      <c r="J131" s="289">
        <v>0</v>
      </c>
      <c r="K131" s="290"/>
      <c r="L131" s="289"/>
      <c r="M131" s="290"/>
      <c r="N131" s="289">
        <v>0</v>
      </c>
      <c r="O131" s="290"/>
      <c r="P131" s="289"/>
      <c r="Q131" s="290"/>
      <c r="R131" s="289">
        <v>0</v>
      </c>
      <c r="S131" s="290"/>
      <c r="T131" s="289"/>
      <c r="U131" s="290"/>
      <c r="V131" s="289"/>
      <c r="W131" s="290"/>
      <c r="X131" s="289"/>
      <c r="Y131" s="290"/>
      <c r="Z131" s="290"/>
      <c r="AA131" s="289"/>
      <c r="AB131" s="290"/>
      <c r="AC131" s="289">
        <v>0</v>
      </c>
      <c r="AD131" s="290"/>
      <c r="AE131" s="289"/>
      <c r="AF131" s="290"/>
      <c r="AG131" s="289">
        <v>0</v>
      </c>
      <c r="AH131" s="290"/>
      <c r="AI131" s="289"/>
      <c r="AJ131" s="290"/>
      <c r="AK131" s="289">
        <v>0</v>
      </c>
      <c r="AL131" s="290"/>
      <c r="AM131" s="289"/>
      <c r="AN131" s="290"/>
      <c r="AO131" s="289"/>
      <c r="AP131" s="290"/>
      <c r="AQ131" s="289"/>
      <c r="AR131" s="290"/>
      <c r="AS131" s="289"/>
      <c r="AT131" s="290"/>
      <c r="AU131" s="290"/>
      <c r="AV131" s="289"/>
      <c r="AW131" s="290"/>
      <c r="AX131" s="289"/>
      <c r="AY131" s="290"/>
      <c r="AZ131" s="289"/>
      <c r="BA131" s="290"/>
      <c r="BB131" s="289"/>
      <c r="BC131" s="290"/>
      <c r="BD131" s="289">
        <v>0</v>
      </c>
      <c r="BE131" s="290"/>
      <c r="BF131" s="289"/>
      <c r="BG131" s="290"/>
      <c r="BH131" s="289"/>
      <c r="BI131" s="291"/>
      <c r="BJ131" s="292">
        <f t="shared" si="8"/>
        <v>0</v>
      </c>
      <c r="BK131" s="298"/>
      <c r="BL131" s="299"/>
      <c r="BM131" s="299"/>
      <c r="BN131" s="300"/>
    </row>
    <row r="132" spans="1:66" s="301" customFormat="1" ht="18" x14ac:dyDescent="0.25">
      <c r="A132" s="268" t="s">
        <v>750</v>
      </c>
      <c r="B132" s="317" t="s">
        <v>696</v>
      </c>
      <c r="C132" s="298"/>
      <c r="D132" s="289">
        <f>'MCS Budget - Detailed'!N765+'MCS Budget - Detailed'!N841+'MCS Budget - Detailed'!N846</f>
        <v>123439</v>
      </c>
      <c r="E132" s="290"/>
      <c r="F132" s="289">
        <f>'CCS Budget - Detailed'!H326</f>
        <v>5000</v>
      </c>
      <c r="G132" s="290"/>
      <c r="H132" s="289"/>
      <c r="I132" s="290"/>
      <c r="J132" s="289">
        <v>0</v>
      </c>
      <c r="K132" s="290"/>
      <c r="L132" s="289"/>
      <c r="M132" s="290"/>
      <c r="N132" s="289">
        <v>0</v>
      </c>
      <c r="O132" s="290"/>
      <c r="P132" s="289"/>
      <c r="Q132" s="290"/>
      <c r="R132" s="289">
        <v>0</v>
      </c>
      <c r="S132" s="290"/>
      <c r="T132" s="289"/>
      <c r="U132" s="290"/>
      <c r="V132" s="289"/>
      <c r="W132" s="290"/>
      <c r="X132" s="289"/>
      <c r="Y132" s="290"/>
      <c r="Z132" s="290"/>
      <c r="AA132" s="289"/>
      <c r="AB132" s="290"/>
      <c r="AC132" s="289">
        <v>0</v>
      </c>
      <c r="AD132" s="290"/>
      <c r="AE132" s="289"/>
      <c r="AF132" s="290"/>
      <c r="AG132" s="289">
        <v>0</v>
      </c>
      <c r="AH132" s="290"/>
      <c r="AI132" s="289"/>
      <c r="AJ132" s="290"/>
      <c r="AK132" s="289">
        <v>0</v>
      </c>
      <c r="AL132" s="290"/>
      <c r="AM132" s="289"/>
      <c r="AN132" s="290"/>
      <c r="AO132" s="289"/>
      <c r="AP132" s="290"/>
      <c r="AQ132" s="289"/>
      <c r="AR132" s="290"/>
      <c r="AS132" s="289"/>
      <c r="AT132" s="290"/>
      <c r="AU132" s="290"/>
      <c r="AV132" s="289"/>
      <c r="AW132" s="290"/>
      <c r="AX132" s="289"/>
      <c r="AY132" s="290"/>
      <c r="AZ132" s="289"/>
      <c r="BA132" s="290"/>
      <c r="BB132" s="289"/>
      <c r="BC132" s="290"/>
      <c r="BD132" s="289">
        <v>0</v>
      </c>
      <c r="BE132" s="290"/>
      <c r="BF132" s="289"/>
      <c r="BG132" s="290"/>
      <c r="BH132" s="289"/>
      <c r="BI132" s="291"/>
      <c r="BJ132" s="292">
        <f t="shared" si="8"/>
        <v>128439</v>
      </c>
      <c r="BK132" s="298"/>
      <c r="BL132" s="299"/>
      <c r="BM132" s="299"/>
      <c r="BN132" s="300"/>
    </row>
    <row r="133" spans="1:66" s="301" customFormat="1" ht="18" x14ac:dyDescent="0.25">
      <c r="A133" s="268" t="s">
        <v>697</v>
      </c>
      <c r="B133" s="317" t="s">
        <v>624</v>
      </c>
      <c r="C133" s="298"/>
      <c r="D133" s="289">
        <f>'MCS Budget - Detailed'!N766</f>
        <v>8500</v>
      </c>
      <c r="E133" s="290"/>
      <c r="F133" s="289">
        <v>0</v>
      </c>
      <c r="G133" s="290"/>
      <c r="H133" s="289">
        <v>0</v>
      </c>
      <c r="I133" s="290"/>
      <c r="J133" s="289">
        <v>0</v>
      </c>
      <c r="K133" s="290"/>
      <c r="L133" s="289"/>
      <c r="M133" s="290"/>
      <c r="N133" s="289">
        <v>0</v>
      </c>
      <c r="O133" s="290"/>
      <c r="P133" s="289">
        <v>0</v>
      </c>
      <c r="Q133" s="290"/>
      <c r="R133" s="289">
        <v>0</v>
      </c>
      <c r="S133" s="290"/>
      <c r="T133" s="289">
        <v>0</v>
      </c>
      <c r="U133" s="290"/>
      <c r="V133" s="289">
        <v>0</v>
      </c>
      <c r="W133" s="290"/>
      <c r="X133" s="289">
        <v>0</v>
      </c>
      <c r="Y133" s="290"/>
      <c r="Z133" s="290"/>
      <c r="AA133" s="289">
        <v>0</v>
      </c>
      <c r="AB133" s="290"/>
      <c r="AC133" s="289">
        <v>0</v>
      </c>
      <c r="AD133" s="290"/>
      <c r="AE133" s="289">
        <v>0</v>
      </c>
      <c r="AF133" s="290"/>
      <c r="AG133" s="289">
        <v>0</v>
      </c>
      <c r="AH133" s="290"/>
      <c r="AI133" s="289">
        <v>0</v>
      </c>
      <c r="AJ133" s="290"/>
      <c r="AK133" s="289">
        <v>0</v>
      </c>
      <c r="AL133" s="290"/>
      <c r="AM133" s="289">
        <v>0</v>
      </c>
      <c r="AN133" s="290"/>
      <c r="AO133" s="289">
        <v>0</v>
      </c>
      <c r="AP133" s="290"/>
      <c r="AQ133" s="289">
        <v>0</v>
      </c>
      <c r="AR133" s="290"/>
      <c r="AS133" s="289">
        <v>0</v>
      </c>
      <c r="AT133" s="290"/>
      <c r="AU133" s="290"/>
      <c r="AV133" s="289">
        <v>0</v>
      </c>
      <c r="AW133" s="290"/>
      <c r="AX133" s="289">
        <v>0</v>
      </c>
      <c r="AY133" s="290"/>
      <c r="AZ133" s="289">
        <v>0</v>
      </c>
      <c r="BA133" s="290"/>
      <c r="BB133" s="289">
        <v>0</v>
      </c>
      <c r="BC133" s="290"/>
      <c r="BD133" s="289">
        <v>0</v>
      </c>
      <c r="BE133" s="290"/>
      <c r="BF133" s="289">
        <v>0</v>
      </c>
      <c r="BG133" s="290"/>
      <c r="BH133" s="289">
        <v>0</v>
      </c>
      <c r="BI133" s="291"/>
      <c r="BJ133" s="292">
        <f t="shared" si="8"/>
        <v>8500</v>
      </c>
      <c r="BK133" s="298"/>
      <c r="BL133" s="299"/>
      <c r="BM133" s="299"/>
      <c r="BN133" s="300"/>
    </row>
    <row r="134" spans="1:66" s="301" customFormat="1" ht="18" x14ac:dyDescent="0.25">
      <c r="A134" s="268" t="s">
        <v>698</v>
      </c>
      <c r="B134" s="317" t="s">
        <v>492</v>
      </c>
      <c r="C134" s="298"/>
      <c r="D134" s="289">
        <f>'MCS Budget - Detailed'!N767+'MCS Budget - Detailed'!N768</f>
        <v>24000</v>
      </c>
      <c r="E134" s="290"/>
      <c r="F134" s="289">
        <v>0</v>
      </c>
      <c r="G134" s="290"/>
      <c r="H134" s="289">
        <v>0</v>
      </c>
      <c r="I134" s="290"/>
      <c r="J134" s="289">
        <v>0</v>
      </c>
      <c r="K134" s="290"/>
      <c r="L134" s="289"/>
      <c r="M134" s="290"/>
      <c r="N134" s="289">
        <v>0</v>
      </c>
      <c r="O134" s="290"/>
      <c r="P134" s="289">
        <v>0</v>
      </c>
      <c r="Q134" s="290"/>
      <c r="R134" s="289">
        <v>0</v>
      </c>
      <c r="S134" s="290"/>
      <c r="T134" s="289">
        <v>0</v>
      </c>
      <c r="U134" s="290"/>
      <c r="V134" s="289">
        <v>0</v>
      </c>
      <c r="W134" s="290"/>
      <c r="X134" s="289">
        <v>0</v>
      </c>
      <c r="Y134" s="290"/>
      <c r="Z134" s="290"/>
      <c r="AA134" s="289">
        <v>0</v>
      </c>
      <c r="AB134" s="290"/>
      <c r="AC134" s="289">
        <v>0</v>
      </c>
      <c r="AD134" s="290"/>
      <c r="AE134" s="289">
        <v>0</v>
      </c>
      <c r="AF134" s="290"/>
      <c r="AG134" s="289">
        <v>0</v>
      </c>
      <c r="AH134" s="290"/>
      <c r="AI134" s="289">
        <v>0</v>
      </c>
      <c r="AJ134" s="290"/>
      <c r="AK134" s="289">
        <v>0</v>
      </c>
      <c r="AL134" s="290"/>
      <c r="AM134" s="289">
        <v>0</v>
      </c>
      <c r="AN134" s="290"/>
      <c r="AO134" s="289">
        <v>0</v>
      </c>
      <c r="AP134" s="290"/>
      <c r="AQ134" s="289">
        <v>0</v>
      </c>
      <c r="AR134" s="290"/>
      <c r="AS134" s="289">
        <v>0</v>
      </c>
      <c r="AT134" s="290"/>
      <c r="AU134" s="290"/>
      <c r="AV134" s="289">
        <v>0</v>
      </c>
      <c r="AW134" s="290"/>
      <c r="AX134" s="289">
        <v>0</v>
      </c>
      <c r="AY134" s="290"/>
      <c r="AZ134" s="289">
        <v>0</v>
      </c>
      <c r="BA134" s="290"/>
      <c r="BB134" s="289">
        <v>0</v>
      </c>
      <c r="BC134" s="290"/>
      <c r="BD134" s="289">
        <v>0</v>
      </c>
      <c r="BE134" s="290"/>
      <c r="BF134" s="289">
        <v>0</v>
      </c>
      <c r="BG134" s="290"/>
      <c r="BH134" s="289">
        <v>0</v>
      </c>
      <c r="BI134" s="291"/>
      <c r="BJ134" s="292">
        <f t="shared" si="8"/>
        <v>24000</v>
      </c>
      <c r="BK134" s="298"/>
      <c r="BL134" s="299"/>
      <c r="BM134" s="299"/>
      <c r="BN134" s="300"/>
    </row>
    <row r="135" spans="1:66" s="301" customFormat="1" ht="18" x14ac:dyDescent="0.25">
      <c r="A135" s="268" t="s">
        <v>699</v>
      </c>
      <c r="B135" s="317" t="s">
        <v>700</v>
      </c>
      <c r="C135" s="298"/>
      <c r="D135" s="289">
        <v>0</v>
      </c>
      <c r="E135" s="290"/>
      <c r="F135" s="289">
        <v>0</v>
      </c>
      <c r="G135" s="290"/>
      <c r="H135" s="289">
        <v>0</v>
      </c>
      <c r="I135" s="290"/>
      <c r="J135" s="289">
        <v>0</v>
      </c>
      <c r="K135" s="290"/>
      <c r="L135" s="289"/>
      <c r="M135" s="290"/>
      <c r="N135" s="289">
        <v>0</v>
      </c>
      <c r="O135" s="290"/>
      <c r="P135" s="289">
        <v>0</v>
      </c>
      <c r="Q135" s="290"/>
      <c r="R135" s="289">
        <v>0</v>
      </c>
      <c r="S135" s="290"/>
      <c r="T135" s="289">
        <v>0</v>
      </c>
      <c r="U135" s="290"/>
      <c r="V135" s="289">
        <v>0</v>
      </c>
      <c r="W135" s="290"/>
      <c r="X135" s="289">
        <v>0</v>
      </c>
      <c r="Y135" s="290"/>
      <c r="Z135" s="290"/>
      <c r="AA135" s="289">
        <v>0</v>
      </c>
      <c r="AB135" s="290"/>
      <c r="AC135" s="289">
        <v>0</v>
      </c>
      <c r="AD135" s="290"/>
      <c r="AE135" s="289">
        <v>0</v>
      </c>
      <c r="AF135" s="290"/>
      <c r="AG135" s="289">
        <v>0</v>
      </c>
      <c r="AH135" s="290"/>
      <c r="AI135" s="289">
        <v>0</v>
      </c>
      <c r="AJ135" s="290"/>
      <c r="AK135" s="289">
        <v>0</v>
      </c>
      <c r="AL135" s="290"/>
      <c r="AM135" s="289">
        <v>0</v>
      </c>
      <c r="AN135" s="290"/>
      <c r="AO135" s="289">
        <v>0</v>
      </c>
      <c r="AP135" s="290"/>
      <c r="AQ135" s="289">
        <v>0</v>
      </c>
      <c r="AR135" s="290"/>
      <c r="AS135" s="289">
        <v>0</v>
      </c>
      <c r="AT135" s="290"/>
      <c r="AU135" s="290"/>
      <c r="AV135" s="289">
        <v>0</v>
      </c>
      <c r="AW135" s="290"/>
      <c r="AX135" s="289">
        <v>0</v>
      </c>
      <c r="AY135" s="290"/>
      <c r="AZ135" s="289">
        <v>0</v>
      </c>
      <c r="BA135" s="290"/>
      <c r="BB135" s="289">
        <v>0</v>
      </c>
      <c r="BC135" s="290"/>
      <c r="BD135" s="289">
        <v>0</v>
      </c>
      <c r="BE135" s="290"/>
      <c r="BF135" s="289">
        <v>0</v>
      </c>
      <c r="BG135" s="290"/>
      <c r="BH135" s="289">
        <v>0</v>
      </c>
      <c r="BI135" s="291"/>
      <c r="BJ135" s="292">
        <f t="shared" si="8"/>
        <v>0</v>
      </c>
      <c r="BK135" s="298"/>
      <c r="BL135" s="299"/>
      <c r="BM135" s="299"/>
      <c r="BN135" s="300"/>
    </row>
    <row r="136" spans="1:66" s="301" customFormat="1" ht="18.75" thickBot="1" x14ac:dyDescent="0.3">
      <c r="A136" s="268" t="s">
        <v>751</v>
      </c>
      <c r="B136" s="317" t="s">
        <v>506</v>
      </c>
      <c r="C136" s="298"/>
      <c r="D136" s="289">
        <v>0</v>
      </c>
      <c r="E136" s="290"/>
      <c r="F136" s="289">
        <v>0</v>
      </c>
      <c r="G136" s="290"/>
      <c r="H136" s="289"/>
      <c r="I136" s="290"/>
      <c r="J136" s="289">
        <v>0</v>
      </c>
      <c r="K136" s="290"/>
      <c r="L136" s="289"/>
      <c r="M136" s="290"/>
      <c r="N136" s="289">
        <v>0</v>
      </c>
      <c r="O136" s="290"/>
      <c r="P136" s="289"/>
      <c r="Q136" s="290"/>
      <c r="R136" s="289">
        <v>0</v>
      </c>
      <c r="S136" s="290"/>
      <c r="T136" s="289"/>
      <c r="U136" s="290"/>
      <c r="V136" s="289"/>
      <c r="W136" s="290"/>
      <c r="X136" s="289"/>
      <c r="Y136" s="290"/>
      <c r="Z136" s="290"/>
      <c r="AA136" s="289"/>
      <c r="AB136" s="290"/>
      <c r="AC136" s="289">
        <v>0</v>
      </c>
      <c r="AD136" s="290"/>
      <c r="AE136" s="289"/>
      <c r="AF136" s="290"/>
      <c r="AG136" s="289">
        <v>0</v>
      </c>
      <c r="AH136" s="290"/>
      <c r="AI136" s="289"/>
      <c r="AJ136" s="290"/>
      <c r="AK136" s="289">
        <v>0</v>
      </c>
      <c r="AL136" s="290"/>
      <c r="AM136" s="289"/>
      <c r="AN136" s="290"/>
      <c r="AO136" s="289"/>
      <c r="AP136" s="290"/>
      <c r="AQ136" s="289"/>
      <c r="AR136" s="290"/>
      <c r="AS136" s="289"/>
      <c r="AT136" s="290"/>
      <c r="AU136" s="290"/>
      <c r="AV136" s="289"/>
      <c r="AW136" s="290"/>
      <c r="AX136" s="289"/>
      <c r="AY136" s="290"/>
      <c r="AZ136" s="289"/>
      <c r="BA136" s="290"/>
      <c r="BB136" s="289"/>
      <c r="BC136" s="290"/>
      <c r="BD136" s="289">
        <v>0</v>
      </c>
      <c r="BE136" s="290"/>
      <c r="BF136" s="289"/>
      <c r="BG136" s="290"/>
      <c r="BH136" s="289"/>
      <c r="BI136" s="291"/>
      <c r="BJ136" s="292">
        <f t="shared" si="8"/>
        <v>0</v>
      </c>
      <c r="BK136" s="298"/>
      <c r="BL136" s="299"/>
      <c r="BM136" s="299"/>
      <c r="BN136" s="300"/>
    </row>
    <row r="137" spans="1:66" s="301" customFormat="1" ht="18.75" thickBot="1" x14ac:dyDescent="0.3">
      <c r="A137" s="303" t="s">
        <v>718</v>
      </c>
      <c r="B137" s="312"/>
      <c r="C137" s="307"/>
      <c r="D137" s="306">
        <f>SUM(D128:D136)</f>
        <v>218769</v>
      </c>
      <c r="E137" s="307"/>
      <c r="F137" s="306">
        <f>SUM(F128:F136)</f>
        <v>53217</v>
      </c>
      <c r="G137" s="307"/>
      <c r="H137" s="306">
        <f>SUM(H128:H135)</f>
        <v>0</v>
      </c>
      <c r="I137" s="307"/>
      <c r="J137" s="306">
        <f>SUM(J128:J136)</f>
        <v>0</v>
      </c>
      <c r="K137" s="307"/>
      <c r="L137" s="306">
        <f>SUM(L128:L135)</f>
        <v>0</v>
      </c>
      <c r="M137" s="307"/>
      <c r="N137" s="306">
        <f>SUM(N128:N136)</f>
        <v>0</v>
      </c>
      <c r="O137" s="307"/>
      <c r="P137" s="306">
        <f>SUM(P128:P135)</f>
        <v>0</v>
      </c>
      <c r="Q137" s="307"/>
      <c r="R137" s="306">
        <f>SUM(R128:R136)</f>
        <v>0</v>
      </c>
      <c r="S137" s="307"/>
      <c r="T137" s="306">
        <f>SUM(T128:T135)</f>
        <v>0</v>
      </c>
      <c r="U137" s="307"/>
      <c r="V137" s="306">
        <f>SUM(V128:V135)</f>
        <v>0</v>
      </c>
      <c r="W137" s="307"/>
      <c r="X137" s="306">
        <f>SUM(X128:X135)</f>
        <v>0</v>
      </c>
      <c r="Y137" s="307"/>
      <c r="Z137" s="307"/>
      <c r="AA137" s="306">
        <f>SUM(AA128:AA135)</f>
        <v>0</v>
      </c>
      <c r="AB137" s="307"/>
      <c r="AC137" s="306">
        <f>SUM(AC128:AC136)</f>
        <v>0</v>
      </c>
      <c r="AD137" s="307"/>
      <c r="AE137" s="306">
        <f>SUM(AE128:AE135)</f>
        <v>0</v>
      </c>
      <c r="AF137" s="307"/>
      <c r="AG137" s="306">
        <f>SUM(AG128:AG136)</f>
        <v>0</v>
      </c>
      <c r="AH137" s="307"/>
      <c r="AI137" s="306">
        <f>SUM(AI128:AI135)</f>
        <v>0</v>
      </c>
      <c r="AJ137" s="307"/>
      <c r="AK137" s="306">
        <f>SUM(AK128:AK136)</f>
        <v>0</v>
      </c>
      <c r="AL137" s="307"/>
      <c r="AM137" s="306">
        <f>SUM(AM128:AM135)</f>
        <v>0</v>
      </c>
      <c r="AN137" s="307"/>
      <c r="AO137" s="306">
        <f>SUM(AO128:AO135)</f>
        <v>0</v>
      </c>
      <c r="AP137" s="307"/>
      <c r="AQ137" s="306">
        <f>SUM(AQ128:AQ135)</f>
        <v>0</v>
      </c>
      <c r="AR137" s="307"/>
      <c r="AS137" s="306">
        <f>SUM(AS128:AS135)</f>
        <v>0</v>
      </c>
      <c r="AT137" s="307"/>
      <c r="AU137" s="307"/>
      <c r="AV137" s="306">
        <f>SUM(AV128:AV135)</f>
        <v>0</v>
      </c>
      <c r="AW137" s="307"/>
      <c r="AX137" s="306">
        <f>SUM(AX128:AX135)</f>
        <v>0</v>
      </c>
      <c r="AY137" s="307"/>
      <c r="AZ137" s="306">
        <f>SUM(AZ128:AZ135)</f>
        <v>0</v>
      </c>
      <c r="BA137" s="307"/>
      <c r="BB137" s="306">
        <f>SUM(BB128:BB135)</f>
        <v>0</v>
      </c>
      <c r="BC137" s="307"/>
      <c r="BD137" s="306">
        <f>SUM(BD128:BD136)</f>
        <v>0</v>
      </c>
      <c r="BE137" s="307"/>
      <c r="BF137" s="306">
        <f>SUM(BF128:BF135)</f>
        <v>0</v>
      </c>
      <c r="BG137" s="307"/>
      <c r="BH137" s="306">
        <f>SUM(BH128:BH135)</f>
        <v>0</v>
      </c>
      <c r="BI137" s="307"/>
      <c r="BJ137" s="306">
        <f>D137+F137+H137+J137+X137+N137+P137+R137+T137+V137+AA137+AC137+AG137+AI137+AK137+AM137+AO137+AQ137+AS137+AV137+AX137+AZ137+BB137+BD137+BH137+BF137+AE137</f>
        <v>271986</v>
      </c>
      <c r="BK137" s="307"/>
      <c r="BL137" s="308"/>
      <c r="BM137" s="308"/>
      <c r="BN137" s="300"/>
    </row>
    <row r="138" spans="1:66" s="301" customFormat="1" ht="18" x14ac:dyDescent="0.25">
      <c r="A138" s="268"/>
      <c r="B138" s="294"/>
      <c r="C138" s="298"/>
      <c r="D138" s="292"/>
      <c r="E138" s="291"/>
      <c r="F138" s="292"/>
      <c r="G138" s="291"/>
      <c r="H138" s="292"/>
      <c r="I138" s="291"/>
      <c r="J138" s="292"/>
      <c r="K138" s="291"/>
      <c r="L138" s="309"/>
      <c r="M138" s="291"/>
      <c r="N138" s="292"/>
      <c r="O138" s="291"/>
      <c r="P138" s="292"/>
      <c r="Q138" s="291"/>
      <c r="R138" s="292"/>
      <c r="S138" s="291"/>
      <c r="T138" s="292"/>
      <c r="U138" s="291"/>
      <c r="V138" s="292"/>
      <c r="W138" s="291"/>
      <c r="X138" s="292"/>
      <c r="Y138" s="291"/>
      <c r="Z138" s="291"/>
      <c r="AA138" s="292"/>
      <c r="AB138" s="291"/>
      <c r="AC138" s="292"/>
      <c r="AD138" s="291"/>
      <c r="AE138" s="292"/>
      <c r="AF138" s="291"/>
      <c r="AG138" s="292"/>
      <c r="AH138" s="291"/>
      <c r="AI138" s="292"/>
      <c r="AJ138" s="291"/>
      <c r="AK138" s="292"/>
      <c r="AL138" s="291"/>
      <c r="AM138" s="292"/>
      <c r="AN138" s="291"/>
      <c r="AO138" s="292"/>
      <c r="AP138" s="291"/>
      <c r="AQ138" s="292"/>
      <c r="AR138" s="291"/>
      <c r="AS138" s="292"/>
      <c r="AT138" s="291"/>
      <c r="AU138" s="291"/>
      <c r="AV138" s="292"/>
      <c r="AW138" s="291"/>
      <c r="AX138" s="292"/>
      <c r="AY138" s="291"/>
      <c r="AZ138" s="292"/>
      <c r="BA138" s="291"/>
      <c r="BB138" s="292"/>
      <c r="BC138" s="291"/>
      <c r="BD138" s="292"/>
      <c r="BE138" s="291"/>
      <c r="BF138" s="292"/>
      <c r="BG138" s="291"/>
      <c r="BH138" s="292"/>
      <c r="BI138" s="291"/>
      <c r="BJ138" s="300"/>
      <c r="BK138" s="298"/>
      <c r="BL138" s="299"/>
      <c r="BM138" s="299"/>
      <c r="BN138" s="300"/>
    </row>
    <row r="139" spans="1:66" s="301" customFormat="1" ht="18" x14ac:dyDescent="0.25">
      <c r="A139" s="268" t="s">
        <v>719</v>
      </c>
      <c r="B139" s="294"/>
      <c r="C139" s="298"/>
      <c r="D139" s="292"/>
      <c r="E139" s="291"/>
      <c r="F139" s="292"/>
      <c r="G139" s="291"/>
      <c r="H139" s="292"/>
      <c r="I139" s="291"/>
      <c r="J139" s="292"/>
      <c r="K139" s="291"/>
      <c r="L139" s="309"/>
      <c r="M139" s="291"/>
      <c r="N139" s="292"/>
      <c r="O139" s="291"/>
      <c r="P139" s="292"/>
      <c r="Q139" s="291"/>
      <c r="R139" s="292"/>
      <c r="S139" s="291"/>
      <c r="T139" s="292"/>
      <c r="U139" s="291"/>
      <c r="V139" s="292"/>
      <c r="W139" s="291"/>
      <c r="X139" s="292"/>
      <c r="Y139" s="291"/>
      <c r="Z139" s="291"/>
      <c r="AA139" s="292"/>
      <c r="AB139" s="291"/>
      <c r="AC139" s="292"/>
      <c r="AD139" s="291"/>
      <c r="AE139" s="292"/>
      <c r="AF139" s="291"/>
      <c r="AG139" s="292"/>
      <c r="AH139" s="291"/>
      <c r="AI139" s="292"/>
      <c r="AJ139" s="291"/>
      <c r="AK139" s="292"/>
      <c r="AL139" s="291"/>
      <c r="AM139" s="292"/>
      <c r="AN139" s="291"/>
      <c r="AO139" s="292"/>
      <c r="AP139" s="291"/>
      <c r="AQ139" s="292"/>
      <c r="AR139" s="291"/>
      <c r="AS139" s="292"/>
      <c r="AT139" s="291"/>
      <c r="AU139" s="291"/>
      <c r="AV139" s="292"/>
      <c r="AW139" s="291"/>
      <c r="AX139" s="292"/>
      <c r="AY139" s="291"/>
      <c r="AZ139" s="292"/>
      <c r="BA139" s="291"/>
      <c r="BB139" s="292"/>
      <c r="BC139" s="291"/>
      <c r="BD139" s="292"/>
      <c r="BE139" s="291"/>
      <c r="BF139" s="292"/>
      <c r="BG139" s="291"/>
      <c r="BH139" s="292"/>
      <c r="BI139" s="291"/>
      <c r="BJ139" s="300"/>
      <c r="BK139" s="298"/>
      <c r="BL139" s="299"/>
      <c r="BM139" s="299"/>
      <c r="BN139" s="300"/>
    </row>
    <row r="140" spans="1:66" s="301" customFormat="1" ht="18" x14ac:dyDescent="0.25">
      <c r="A140" s="268" t="s">
        <v>690</v>
      </c>
      <c r="B140" s="317" t="s">
        <v>691</v>
      </c>
      <c r="C140" s="298"/>
      <c r="D140" s="289">
        <v>0</v>
      </c>
      <c r="E140" s="290"/>
      <c r="F140" s="289">
        <v>0</v>
      </c>
      <c r="G140" s="290"/>
      <c r="H140" s="289">
        <v>0</v>
      </c>
      <c r="I140" s="290"/>
      <c r="J140" s="289">
        <v>0</v>
      </c>
      <c r="K140" s="290"/>
      <c r="L140" s="289"/>
      <c r="M140" s="290"/>
      <c r="N140" s="289">
        <v>0</v>
      </c>
      <c r="O140" s="290"/>
      <c r="P140" s="289">
        <v>0</v>
      </c>
      <c r="Q140" s="290"/>
      <c r="R140" s="289">
        <v>0</v>
      </c>
      <c r="S140" s="290"/>
      <c r="T140" s="289">
        <v>0</v>
      </c>
      <c r="U140" s="290"/>
      <c r="V140" s="289">
        <v>0</v>
      </c>
      <c r="W140" s="290"/>
      <c r="X140" s="289">
        <v>0</v>
      </c>
      <c r="Y140" s="290"/>
      <c r="Z140" s="290"/>
      <c r="AA140" s="289">
        <v>0</v>
      </c>
      <c r="AB140" s="290"/>
      <c r="AC140" s="289">
        <v>0</v>
      </c>
      <c r="AD140" s="290"/>
      <c r="AE140" s="289">
        <v>0</v>
      </c>
      <c r="AF140" s="290"/>
      <c r="AG140" s="289">
        <v>0</v>
      </c>
      <c r="AH140" s="290"/>
      <c r="AI140" s="289">
        <v>0</v>
      </c>
      <c r="AJ140" s="290"/>
      <c r="AK140" s="289">
        <v>0</v>
      </c>
      <c r="AL140" s="290"/>
      <c r="AM140" s="289">
        <v>0</v>
      </c>
      <c r="AN140" s="290"/>
      <c r="AO140" s="289">
        <v>0</v>
      </c>
      <c r="AP140" s="290"/>
      <c r="AQ140" s="289">
        <v>0</v>
      </c>
      <c r="AR140" s="290"/>
      <c r="AS140" s="289">
        <v>0</v>
      </c>
      <c r="AT140" s="290"/>
      <c r="AU140" s="290"/>
      <c r="AV140" s="289">
        <v>0</v>
      </c>
      <c r="AW140" s="290"/>
      <c r="AX140" s="289">
        <v>0</v>
      </c>
      <c r="AY140" s="290"/>
      <c r="AZ140" s="289">
        <v>0</v>
      </c>
      <c r="BA140" s="290"/>
      <c r="BB140" s="289">
        <v>0</v>
      </c>
      <c r="BC140" s="290"/>
      <c r="BD140" s="289">
        <v>0</v>
      </c>
      <c r="BE140" s="290"/>
      <c r="BF140" s="289">
        <v>0</v>
      </c>
      <c r="BG140" s="290"/>
      <c r="BH140" s="289">
        <v>0</v>
      </c>
      <c r="BI140" s="291"/>
      <c r="BJ140" s="292">
        <f t="shared" ref="BJ140:BJ145" si="9">D140+F140+H140+J140+X140+N140+P140+R140+T140+V140+AA140+AC140+AG140+AI140+AK140+AM140+AO140+AQ140+AS140+AV140+AX140+AZ140+BB140+BD140+BH140+BF140+AE140</f>
        <v>0</v>
      </c>
      <c r="BK140" s="298"/>
      <c r="BL140" s="299"/>
      <c r="BM140" s="299"/>
      <c r="BN140" s="300"/>
    </row>
    <row r="141" spans="1:66" s="301" customFormat="1" ht="18" x14ac:dyDescent="0.25">
      <c r="A141" s="268" t="s">
        <v>692</v>
      </c>
      <c r="B141" s="317" t="s">
        <v>693</v>
      </c>
      <c r="C141" s="298"/>
      <c r="D141" s="289">
        <v>0</v>
      </c>
      <c r="E141" s="290"/>
      <c r="F141" s="289">
        <v>0</v>
      </c>
      <c r="G141" s="290"/>
      <c r="H141" s="289">
        <v>0</v>
      </c>
      <c r="I141" s="290"/>
      <c r="J141" s="289">
        <v>0</v>
      </c>
      <c r="K141" s="290"/>
      <c r="L141" s="289"/>
      <c r="M141" s="290"/>
      <c r="N141" s="289">
        <v>0</v>
      </c>
      <c r="O141" s="290"/>
      <c r="P141" s="289">
        <v>0</v>
      </c>
      <c r="Q141" s="290"/>
      <c r="R141" s="289">
        <v>0</v>
      </c>
      <c r="S141" s="290"/>
      <c r="T141" s="289">
        <v>0</v>
      </c>
      <c r="U141" s="290"/>
      <c r="V141" s="289">
        <v>0</v>
      </c>
      <c r="W141" s="290"/>
      <c r="X141" s="289">
        <v>0</v>
      </c>
      <c r="Y141" s="290"/>
      <c r="Z141" s="290"/>
      <c r="AA141" s="289">
        <v>0</v>
      </c>
      <c r="AB141" s="290"/>
      <c r="AC141" s="289">
        <v>0</v>
      </c>
      <c r="AD141" s="290"/>
      <c r="AE141" s="289">
        <v>0</v>
      </c>
      <c r="AF141" s="290"/>
      <c r="AG141" s="289">
        <v>0</v>
      </c>
      <c r="AH141" s="290"/>
      <c r="AI141" s="289">
        <v>0</v>
      </c>
      <c r="AJ141" s="290"/>
      <c r="AK141" s="289">
        <v>0</v>
      </c>
      <c r="AL141" s="290"/>
      <c r="AM141" s="289">
        <v>0</v>
      </c>
      <c r="AN141" s="290"/>
      <c r="AO141" s="289">
        <v>0</v>
      </c>
      <c r="AP141" s="290"/>
      <c r="AQ141" s="289">
        <v>0</v>
      </c>
      <c r="AR141" s="290"/>
      <c r="AS141" s="289">
        <v>0</v>
      </c>
      <c r="AT141" s="290"/>
      <c r="AU141" s="290"/>
      <c r="AV141" s="289">
        <v>0</v>
      </c>
      <c r="AW141" s="290"/>
      <c r="AX141" s="289">
        <v>0</v>
      </c>
      <c r="AY141" s="290"/>
      <c r="AZ141" s="289">
        <v>0</v>
      </c>
      <c r="BA141" s="290"/>
      <c r="BB141" s="289">
        <v>0</v>
      </c>
      <c r="BC141" s="290"/>
      <c r="BD141" s="289">
        <v>0</v>
      </c>
      <c r="BE141" s="290"/>
      <c r="BF141" s="289">
        <v>0</v>
      </c>
      <c r="BG141" s="290"/>
      <c r="BH141" s="289">
        <v>0</v>
      </c>
      <c r="BI141" s="291"/>
      <c r="BJ141" s="292">
        <f t="shared" si="9"/>
        <v>0</v>
      </c>
      <c r="BK141" s="298"/>
      <c r="BL141" s="299"/>
      <c r="BM141" s="299"/>
      <c r="BN141" s="300"/>
    </row>
    <row r="142" spans="1:66" s="301" customFormat="1" ht="36" x14ac:dyDescent="0.25">
      <c r="A142" s="268" t="s">
        <v>694</v>
      </c>
      <c r="B142" s="317" t="s">
        <v>720</v>
      </c>
      <c r="C142" s="298"/>
      <c r="D142" s="289">
        <v>0</v>
      </c>
      <c r="E142" s="290"/>
      <c r="F142" s="289">
        <v>0</v>
      </c>
      <c r="G142" s="290"/>
      <c r="H142" s="289">
        <v>0</v>
      </c>
      <c r="I142" s="290"/>
      <c r="J142" s="289">
        <v>0</v>
      </c>
      <c r="K142" s="290"/>
      <c r="L142" s="289"/>
      <c r="M142" s="290"/>
      <c r="N142" s="289">
        <v>0</v>
      </c>
      <c r="O142" s="290"/>
      <c r="P142" s="289">
        <v>0</v>
      </c>
      <c r="Q142" s="290"/>
      <c r="R142" s="289">
        <v>0</v>
      </c>
      <c r="S142" s="290"/>
      <c r="T142" s="289">
        <v>0</v>
      </c>
      <c r="U142" s="290"/>
      <c r="V142" s="289">
        <v>0</v>
      </c>
      <c r="W142" s="290"/>
      <c r="X142" s="289">
        <v>0</v>
      </c>
      <c r="Y142" s="290"/>
      <c r="Z142" s="290"/>
      <c r="AA142" s="289">
        <v>0</v>
      </c>
      <c r="AB142" s="290"/>
      <c r="AC142" s="289">
        <v>0</v>
      </c>
      <c r="AD142" s="290"/>
      <c r="AE142" s="289">
        <v>0</v>
      </c>
      <c r="AF142" s="290"/>
      <c r="AG142" s="289">
        <v>0</v>
      </c>
      <c r="AH142" s="290"/>
      <c r="AI142" s="289">
        <v>0</v>
      </c>
      <c r="AJ142" s="290"/>
      <c r="AK142" s="289">
        <v>0</v>
      </c>
      <c r="AL142" s="290"/>
      <c r="AM142" s="289">
        <v>0</v>
      </c>
      <c r="AN142" s="290"/>
      <c r="AO142" s="289">
        <v>0</v>
      </c>
      <c r="AP142" s="290"/>
      <c r="AQ142" s="289">
        <v>0</v>
      </c>
      <c r="AR142" s="290"/>
      <c r="AS142" s="289">
        <v>0</v>
      </c>
      <c r="AT142" s="290"/>
      <c r="AU142" s="290"/>
      <c r="AV142" s="289">
        <v>0</v>
      </c>
      <c r="AW142" s="290"/>
      <c r="AX142" s="289">
        <v>0</v>
      </c>
      <c r="AY142" s="290"/>
      <c r="AZ142" s="289">
        <v>0</v>
      </c>
      <c r="BA142" s="290"/>
      <c r="BB142" s="289">
        <v>0</v>
      </c>
      <c r="BC142" s="290"/>
      <c r="BD142" s="289">
        <v>0</v>
      </c>
      <c r="BE142" s="290"/>
      <c r="BF142" s="289">
        <v>0</v>
      </c>
      <c r="BG142" s="290"/>
      <c r="BH142" s="289">
        <v>0</v>
      </c>
      <c r="BI142" s="291"/>
      <c r="BJ142" s="292">
        <f t="shared" si="9"/>
        <v>0</v>
      </c>
      <c r="BK142" s="298"/>
      <c r="BL142" s="299"/>
      <c r="BM142" s="299"/>
      <c r="BN142" s="300"/>
    </row>
    <row r="143" spans="1:66" s="301" customFormat="1" ht="18" x14ac:dyDescent="0.25">
      <c r="A143" s="268" t="s">
        <v>697</v>
      </c>
      <c r="B143" s="317" t="s">
        <v>624</v>
      </c>
      <c r="C143" s="298"/>
      <c r="D143" s="289">
        <v>0</v>
      </c>
      <c r="E143" s="290"/>
      <c r="F143" s="289">
        <v>0</v>
      </c>
      <c r="G143" s="290"/>
      <c r="H143" s="289">
        <v>0</v>
      </c>
      <c r="I143" s="290"/>
      <c r="J143" s="289">
        <v>0</v>
      </c>
      <c r="K143" s="290"/>
      <c r="L143" s="289"/>
      <c r="M143" s="290"/>
      <c r="N143" s="289">
        <v>0</v>
      </c>
      <c r="O143" s="290"/>
      <c r="P143" s="289">
        <v>0</v>
      </c>
      <c r="Q143" s="290"/>
      <c r="R143" s="289">
        <v>0</v>
      </c>
      <c r="S143" s="290"/>
      <c r="T143" s="289">
        <v>0</v>
      </c>
      <c r="U143" s="290"/>
      <c r="V143" s="289">
        <v>0</v>
      </c>
      <c r="W143" s="290"/>
      <c r="X143" s="289">
        <v>0</v>
      </c>
      <c r="Y143" s="290"/>
      <c r="Z143" s="290"/>
      <c r="AA143" s="289">
        <v>0</v>
      </c>
      <c r="AB143" s="290"/>
      <c r="AC143" s="289">
        <v>0</v>
      </c>
      <c r="AD143" s="290"/>
      <c r="AE143" s="289">
        <v>0</v>
      </c>
      <c r="AF143" s="290"/>
      <c r="AG143" s="289">
        <v>0</v>
      </c>
      <c r="AH143" s="290"/>
      <c r="AI143" s="289">
        <v>0</v>
      </c>
      <c r="AJ143" s="290"/>
      <c r="AK143" s="289">
        <v>0</v>
      </c>
      <c r="AL143" s="290"/>
      <c r="AM143" s="289">
        <v>0</v>
      </c>
      <c r="AN143" s="290"/>
      <c r="AO143" s="289">
        <v>0</v>
      </c>
      <c r="AP143" s="290"/>
      <c r="AQ143" s="289">
        <v>0</v>
      </c>
      <c r="AR143" s="290"/>
      <c r="AS143" s="289">
        <v>0</v>
      </c>
      <c r="AT143" s="290"/>
      <c r="AU143" s="290"/>
      <c r="AV143" s="289">
        <v>0</v>
      </c>
      <c r="AW143" s="290"/>
      <c r="AX143" s="289">
        <v>0</v>
      </c>
      <c r="AY143" s="290"/>
      <c r="AZ143" s="289">
        <v>0</v>
      </c>
      <c r="BA143" s="290"/>
      <c r="BB143" s="289">
        <v>0</v>
      </c>
      <c r="BC143" s="290"/>
      <c r="BD143" s="289">
        <v>0</v>
      </c>
      <c r="BE143" s="290"/>
      <c r="BF143" s="289">
        <v>0</v>
      </c>
      <c r="BG143" s="290"/>
      <c r="BH143" s="289">
        <v>0</v>
      </c>
      <c r="BI143" s="291"/>
      <c r="BJ143" s="292">
        <f t="shared" si="9"/>
        <v>0</v>
      </c>
      <c r="BK143" s="298"/>
      <c r="BL143" s="299"/>
      <c r="BM143" s="299"/>
      <c r="BN143" s="300"/>
    </row>
    <row r="144" spans="1:66" s="301" customFormat="1" ht="18" x14ac:dyDescent="0.25">
      <c r="A144" s="268" t="s">
        <v>698</v>
      </c>
      <c r="B144" s="317" t="s">
        <v>492</v>
      </c>
      <c r="C144" s="298"/>
      <c r="D144" s="289">
        <v>0</v>
      </c>
      <c r="E144" s="290"/>
      <c r="F144" s="289">
        <v>0</v>
      </c>
      <c r="G144" s="290"/>
      <c r="H144" s="289">
        <v>0</v>
      </c>
      <c r="I144" s="290"/>
      <c r="J144" s="289">
        <v>0</v>
      </c>
      <c r="K144" s="290"/>
      <c r="L144" s="289"/>
      <c r="M144" s="290"/>
      <c r="N144" s="289">
        <v>0</v>
      </c>
      <c r="O144" s="290"/>
      <c r="P144" s="289">
        <v>0</v>
      </c>
      <c r="Q144" s="290"/>
      <c r="R144" s="289">
        <v>0</v>
      </c>
      <c r="S144" s="290"/>
      <c r="T144" s="289">
        <v>0</v>
      </c>
      <c r="U144" s="290"/>
      <c r="V144" s="289">
        <v>0</v>
      </c>
      <c r="W144" s="290"/>
      <c r="X144" s="289">
        <v>0</v>
      </c>
      <c r="Y144" s="290"/>
      <c r="Z144" s="290"/>
      <c r="AA144" s="289">
        <v>0</v>
      </c>
      <c r="AB144" s="290"/>
      <c r="AC144" s="289">
        <v>0</v>
      </c>
      <c r="AD144" s="290"/>
      <c r="AE144" s="289">
        <v>0</v>
      </c>
      <c r="AF144" s="290"/>
      <c r="AG144" s="289">
        <v>0</v>
      </c>
      <c r="AH144" s="290"/>
      <c r="AI144" s="289">
        <v>0</v>
      </c>
      <c r="AJ144" s="290"/>
      <c r="AK144" s="289">
        <v>0</v>
      </c>
      <c r="AL144" s="290"/>
      <c r="AM144" s="289">
        <v>0</v>
      </c>
      <c r="AN144" s="290"/>
      <c r="AO144" s="289">
        <v>0</v>
      </c>
      <c r="AP144" s="290"/>
      <c r="AQ144" s="289">
        <v>0</v>
      </c>
      <c r="AR144" s="290"/>
      <c r="AS144" s="289">
        <v>0</v>
      </c>
      <c r="AT144" s="290"/>
      <c r="AU144" s="290"/>
      <c r="AV144" s="289">
        <v>0</v>
      </c>
      <c r="AW144" s="290"/>
      <c r="AX144" s="289">
        <v>0</v>
      </c>
      <c r="AY144" s="290"/>
      <c r="AZ144" s="289">
        <v>0</v>
      </c>
      <c r="BA144" s="290"/>
      <c r="BB144" s="289">
        <v>0</v>
      </c>
      <c r="BC144" s="290"/>
      <c r="BD144" s="289">
        <v>0</v>
      </c>
      <c r="BE144" s="290"/>
      <c r="BF144" s="289">
        <v>0</v>
      </c>
      <c r="BG144" s="290"/>
      <c r="BH144" s="289">
        <v>0</v>
      </c>
      <c r="BI144" s="291"/>
      <c r="BJ144" s="292">
        <f t="shared" si="9"/>
        <v>0</v>
      </c>
      <c r="BK144" s="298"/>
      <c r="BL144" s="299"/>
      <c r="BM144" s="299"/>
      <c r="BN144" s="300"/>
    </row>
    <row r="145" spans="1:66" s="301" customFormat="1" ht="18.75" thickBot="1" x14ac:dyDescent="0.3">
      <c r="A145" s="268" t="s">
        <v>699</v>
      </c>
      <c r="B145" s="317" t="s">
        <v>721</v>
      </c>
      <c r="C145" s="298"/>
      <c r="D145" s="289">
        <v>0</v>
      </c>
      <c r="E145" s="290"/>
      <c r="F145" s="289">
        <v>0</v>
      </c>
      <c r="G145" s="290"/>
      <c r="H145" s="289">
        <v>0</v>
      </c>
      <c r="I145" s="290"/>
      <c r="J145" s="289">
        <v>0</v>
      </c>
      <c r="K145" s="290"/>
      <c r="L145" s="289"/>
      <c r="M145" s="290"/>
      <c r="N145" s="289">
        <v>0</v>
      </c>
      <c r="O145" s="290"/>
      <c r="P145" s="289">
        <v>0</v>
      </c>
      <c r="Q145" s="290"/>
      <c r="R145" s="289">
        <v>0</v>
      </c>
      <c r="S145" s="290"/>
      <c r="T145" s="289">
        <v>0</v>
      </c>
      <c r="U145" s="290"/>
      <c r="V145" s="289">
        <v>0</v>
      </c>
      <c r="W145" s="290"/>
      <c r="X145" s="289">
        <v>0</v>
      </c>
      <c r="Y145" s="290"/>
      <c r="Z145" s="290"/>
      <c r="AA145" s="289">
        <v>0</v>
      </c>
      <c r="AB145" s="290"/>
      <c r="AC145" s="289">
        <v>0</v>
      </c>
      <c r="AD145" s="290"/>
      <c r="AE145" s="289">
        <v>0</v>
      </c>
      <c r="AF145" s="290"/>
      <c r="AG145" s="289">
        <v>0</v>
      </c>
      <c r="AH145" s="290"/>
      <c r="AI145" s="289">
        <v>0</v>
      </c>
      <c r="AJ145" s="290"/>
      <c r="AK145" s="289">
        <v>0</v>
      </c>
      <c r="AL145" s="290"/>
      <c r="AM145" s="289">
        <v>0</v>
      </c>
      <c r="AN145" s="290"/>
      <c r="AO145" s="289">
        <v>0</v>
      </c>
      <c r="AP145" s="290"/>
      <c r="AQ145" s="289">
        <v>0</v>
      </c>
      <c r="AR145" s="290"/>
      <c r="AS145" s="289">
        <v>0</v>
      </c>
      <c r="AT145" s="290"/>
      <c r="AU145" s="290"/>
      <c r="AV145" s="289">
        <v>0</v>
      </c>
      <c r="AW145" s="290"/>
      <c r="AX145" s="289">
        <v>0</v>
      </c>
      <c r="AY145" s="290"/>
      <c r="AZ145" s="289">
        <v>0</v>
      </c>
      <c r="BA145" s="290"/>
      <c r="BB145" s="289">
        <v>0</v>
      </c>
      <c r="BC145" s="290"/>
      <c r="BD145" s="289">
        <v>0</v>
      </c>
      <c r="BE145" s="290"/>
      <c r="BF145" s="289">
        <v>0</v>
      </c>
      <c r="BG145" s="290"/>
      <c r="BH145" s="289">
        <v>0</v>
      </c>
      <c r="BI145" s="291"/>
      <c r="BJ145" s="292">
        <f t="shared" si="9"/>
        <v>0</v>
      </c>
      <c r="BK145" s="298"/>
      <c r="BL145" s="299"/>
      <c r="BM145" s="299"/>
      <c r="BN145" s="300"/>
    </row>
    <row r="146" spans="1:66" s="301" customFormat="1" ht="18.75" thickBot="1" x14ac:dyDescent="0.3">
      <c r="A146" s="303" t="s">
        <v>722</v>
      </c>
      <c r="B146" s="312"/>
      <c r="C146" s="307"/>
      <c r="D146" s="306">
        <f>SUM(D140:D145)</f>
        <v>0</v>
      </c>
      <c r="E146" s="307"/>
      <c r="F146" s="306">
        <f>SUM(F140:F145)</f>
        <v>0</v>
      </c>
      <c r="G146" s="307"/>
      <c r="H146" s="306">
        <f>SUM(H140:H145)</f>
        <v>0</v>
      </c>
      <c r="I146" s="307"/>
      <c r="J146" s="306">
        <f>SUM(J140:J145)</f>
        <v>0</v>
      </c>
      <c r="K146" s="307"/>
      <c r="L146" s="306">
        <f>SUM(L140:L145)</f>
        <v>0</v>
      </c>
      <c r="M146" s="307"/>
      <c r="N146" s="306">
        <f>SUM(N140:N145)</f>
        <v>0</v>
      </c>
      <c r="O146" s="307"/>
      <c r="P146" s="306">
        <f>SUM(P140:P145)</f>
        <v>0</v>
      </c>
      <c r="Q146" s="307"/>
      <c r="R146" s="306">
        <f>SUM(R140:R145)</f>
        <v>0</v>
      </c>
      <c r="S146" s="307"/>
      <c r="T146" s="306">
        <f>SUM(T140:T145)</f>
        <v>0</v>
      </c>
      <c r="U146" s="307"/>
      <c r="V146" s="306">
        <f>SUM(V140:V145)</f>
        <v>0</v>
      </c>
      <c r="W146" s="307"/>
      <c r="X146" s="306">
        <f>SUM(X140:X145)</f>
        <v>0</v>
      </c>
      <c r="Y146" s="307"/>
      <c r="Z146" s="307"/>
      <c r="AA146" s="306">
        <f>SUM(AA140:AA145)</f>
        <v>0</v>
      </c>
      <c r="AB146" s="307"/>
      <c r="AC146" s="306">
        <f>SUM(AC140:AC145)</f>
        <v>0</v>
      </c>
      <c r="AD146" s="307"/>
      <c r="AE146" s="306">
        <f>SUM(AE140:AE145)</f>
        <v>0</v>
      </c>
      <c r="AF146" s="307"/>
      <c r="AG146" s="306">
        <f>SUM(AG140:AG145)</f>
        <v>0</v>
      </c>
      <c r="AH146" s="307"/>
      <c r="AI146" s="306">
        <f>SUM(AI140:AI145)</f>
        <v>0</v>
      </c>
      <c r="AJ146" s="307"/>
      <c r="AK146" s="306">
        <f>SUM(AK140:AK145)</f>
        <v>0</v>
      </c>
      <c r="AL146" s="307"/>
      <c r="AM146" s="306">
        <f>SUM(AM140:AM145)</f>
        <v>0</v>
      </c>
      <c r="AN146" s="307"/>
      <c r="AO146" s="306">
        <f>SUM(AO140:AO145)</f>
        <v>0</v>
      </c>
      <c r="AP146" s="307"/>
      <c r="AQ146" s="306">
        <f>SUM(AQ140:AQ145)</f>
        <v>0</v>
      </c>
      <c r="AR146" s="307"/>
      <c r="AS146" s="306">
        <f>SUM(AS140:AS145)</f>
        <v>0</v>
      </c>
      <c r="AT146" s="307"/>
      <c r="AU146" s="307"/>
      <c r="AV146" s="306">
        <f>SUM(AV140:AV145)</f>
        <v>0</v>
      </c>
      <c r="AW146" s="307"/>
      <c r="AX146" s="306">
        <f>SUM(AX140:AX145)</f>
        <v>0</v>
      </c>
      <c r="AY146" s="307"/>
      <c r="AZ146" s="306">
        <f>SUM(AZ140:AZ145)</f>
        <v>0</v>
      </c>
      <c r="BA146" s="307"/>
      <c r="BB146" s="306">
        <f>SUM(BB140:BB145)</f>
        <v>0</v>
      </c>
      <c r="BC146" s="307"/>
      <c r="BD146" s="306">
        <f>SUM(BD140:BD145)</f>
        <v>0</v>
      </c>
      <c r="BE146" s="307"/>
      <c r="BF146" s="306">
        <f>SUM(BF140:BF145)</f>
        <v>0</v>
      </c>
      <c r="BG146" s="307"/>
      <c r="BH146" s="306">
        <f>SUM(BH140:BH145)</f>
        <v>0</v>
      </c>
      <c r="BI146" s="307"/>
      <c r="BJ146" s="306">
        <f>D146+F146+H146+J146+X146+N146+P146+R146+T146+V146+AA146+AC146+AG146+AI146+AK146+AM146+AO146+AQ146+AS146+AV146+AX146+AZ146+BB146+BD146+BH146+BF146+AE146</f>
        <v>0</v>
      </c>
      <c r="BK146" s="307"/>
      <c r="BL146" s="308"/>
      <c r="BM146" s="308"/>
      <c r="BN146" s="300"/>
    </row>
    <row r="147" spans="1:66" s="301" customFormat="1" ht="18" x14ac:dyDescent="0.25">
      <c r="A147" s="268"/>
      <c r="B147" s="294"/>
      <c r="C147" s="298"/>
      <c r="D147" s="292"/>
      <c r="E147" s="291"/>
      <c r="F147" s="292"/>
      <c r="G147" s="291"/>
      <c r="H147" s="292"/>
      <c r="I147" s="291"/>
      <c r="J147" s="292"/>
      <c r="K147" s="291"/>
      <c r="L147" s="309"/>
      <c r="M147" s="291"/>
      <c r="N147" s="292"/>
      <c r="O147" s="291"/>
      <c r="P147" s="292"/>
      <c r="Q147" s="291"/>
      <c r="R147" s="292"/>
      <c r="S147" s="291"/>
      <c r="T147" s="292"/>
      <c r="U147" s="291"/>
      <c r="V147" s="292"/>
      <c r="W147" s="291"/>
      <c r="X147" s="292"/>
      <c r="Y147" s="291"/>
      <c r="Z147" s="291"/>
      <c r="AA147" s="292"/>
      <c r="AB147" s="291"/>
      <c r="AC147" s="292"/>
      <c r="AD147" s="291"/>
      <c r="AE147" s="292"/>
      <c r="AF147" s="291"/>
      <c r="AG147" s="292"/>
      <c r="AH147" s="291"/>
      <c r="AI147" s="292"/>
      <c r="AJ147" s="291"/>
      <c r="AK147" s="292"/>
      <c r="AL147" s="291"/>
      <c r="AM147" s="292"/>
      <c r="AN147" s="291"/>
      <c r="AO147" s="292"/>
      <c r="AP147" s="291"/>
      <c r="AQ147" s="292"/>
      <c r="AR147" s="291"/>
      <c r="AS147" s="292"/>
      <c r="AT147" s="291"/>
      <c r="AU147" s="291"/>
      <c r="AV147" s="292"/>
      <c r="AW147" s="291"/>
      <c r="AX147" s="292"/>
      <c r="AY147" s="291"/>
      <c r="AZ147" s="292"/>
      <c r="BA147" s="291"/>
      <c r="BB147" s="292"/>
      <c r="BC147" s="291"/>
      <c r="BD147" s="292"/>
      <c r="BE147" s="291"/>
      <c r="BF147" s="292"/>
      <c r="BG147" s="291"/>
      <c r="BH147" s="292"/>
      <c r="BI147" s="291"/>
      <c r="BJ147" s="300"/>
      <c r="BK147" s="298"/>
      <c r="BL147" s="299"/>
      <c r="BM147" s="299"/>
      <c r="BN147" s="300"/>
    </row>
    <row r="148" spans="1:66" s="301" customFormat="1" ht="36" x14ac:dyDescent="0.25">
      <c r="A148" s="268" t="s">
        <v>723</v>
      </c>
      <c r="B148" s="294"/>
      <c r="C148" s="298"/>
      <c r="D148" s="292"/>
      <c r="E148" s="291"/>
      <c r="F148" s="292"/>
      <c r="G148" s="291"/>
      <c r="H148" s="292"/>
      <c r="I148" s="291"/>
      <c r="J148" s="292"/>
      <c r="K148" s="291"/>
      <c r="L148" s="309"/>
      <c r="M148" s="291"/>
      <c r="N148" s="292"/>
      <c r="O148" s="291"/>
      <c r="P148" s="292"/>
      <c r="Q148" s="291"/>
      <c r="R148" s="292"/>
      <c r="S148" s="291"/>
      <c r="T148" s="292"/>
      <c r="U148" s="291"/>
      <c r="V148" s="292"/>
      <c r="W148" s="291"/>
      <c r="X148" s="292"/>
      <c r="Y148" s="291"/>
      <c r="Z148" s="291"/>
      <c r="AA148" s="292"/>
      <c r="AB148" s="291"/>
      <c r="AC148" s="292"/>
      <c r="AD148" s="291"/>
      <c r="AE148" s="292"/>
      <c r="AF148" s="291"/>
      <c r="AG148" s="292"/>
      <c r="AH148" s="291"/>
      <c r="AI148" s="292"/>
      <c r="AJ148" s="291"/>
      <c r="AK148" s="292"/>
      <c r="AL148" s="291"/>
      <c r="AM148" s="292"/>
      <c r="AN148" s="291"/>
      <c r="AO148" s="292"/>
      <c r="AP148" s="291"/>
      <c r="AQ148" s="292"/>
      <c r="AR148" s="291"/>
      <c r="AS148" s="292"/>
      <c r="AT148" s="291"/>
      <c r="AU148" s="291"/>
      <c r="AV148" s="292"/>
      <c r="AW148" s="291"/>
      <c r="AX148" s="292"/>
      <c r="AY148" s="291"/>
      <c r="AZ148" s="292"/>
      <c r="BA148" s="291"/>
      <c r="BB148" s="292"/>
      <c r="BC148" s="291"/>
      <c r="BD148" s="292"/>
      <c r="BE148" s="291"/>
      <c r="BF148" s="292"/>
      <c r="BG148" s="291"/>
      <c r="BH148" s="292"/>
      <c r="BI148" s="291"/>
      <c r="BJ148" s="300"/>
      <c r="BK148" s="298"/>
      <c r="BL148" s="299"/>
      <c r="BM148" s="299"/>
      <c r="BN148" s="300"/>
    </row>
    <row r="149" spans="1:66" s="301" customFormat="1" ht="18" x14ac:dyDescent="0.25">
      <c r="A149" s="268" t="s">
        <v>690</v>
      </c>
      <c r="B149" s="317" t="s">
        <v>691</v>
      </c>
      <c r="C149" s="298"/>
      <c r="D149" s="289">
        <v>0</v>
      </c>
      <c r="E149" s="290"/>
      <c r="F149" s="289">
        <v>0</v>
      </c>
      <c r="G149" s="290"/>
      <c r="H149" s="289">
        <v>0</v>
      </c>
      <c r="I149" s="290"/>
      <c r="J149" s="289">
        <v>0</v>
      </c>
      <c r="K149" s="290"/>
      <c r="L149" s="289"/>
      <c r="M149" s="290"/>
      <c r="N149" s="289">
        <f>'MCS Budget - Detailed'!N937+'MCS Budget - Detailed'!N938+'MCS Budget - Detailed'!N939</f>
        <v>55780</v>
      </c>
      <c r="O149" s="290"/>
      <c r="P149" s="289">
        <v>0</v>
      </c>
      <c r="Q149" s="290"/>
      <c r="R149" s="289">
        <v>0</v>
      </c>
      <c r="S149" s="290"/>
      <c r="T149" s="289">
        <v>0</v>
      </c>
      <c r="U149" s="290"/>
      <c r="V149" s="289">
        <v>0</v>
      </c>
      <c r="W149" s="290"/>
      <c r="X149" s="289">
        <v>0</v>
      </c>
      <c r="Y149" s="290"/>
      <c r="Z149" s="290"/>
      <c r="AA149" s="289">
        <v>0</v>
      </c>
      <c r="AB149" s="290"/>
      <c r="AC149" s="289">
        <v>0</v>
      </c>
      <c r="AD149" s="290"/>
      <c r="AE149" s="289">
        <v>0</v>
      </c>
      <c r="AF149" s="290"/>
      <c r="AG149" s="289">
        <v>0</v>
      </c>
      <c r="AH149" s="290"/>
      <c r="AI149" s="289">
        <v>0</v>
      </c>
      <c r="AJ149" s="290"/>
      <c r="AK149" s="289">
        <v>0</v>
      </c>
      <c r="AL149" s="290"/>
      <c r="AM149" s="289">
        <v>0</v>
      </c>
      <c r="AN149" s="290"/>
      <c r="AO149" s="289">
        <v>0</v>
      </c>
      <c r="AP149" s="290"/>
      <c r="AQ149" s="289">
        <v>0</v>
      </c>
      <c r="AR149" s="290"/>
      <c r="AS149" s="289">
        <v>0</v>
      </c>
      <c r="AT149" s="290"/>
      <c r="AU149" s="290"/>
      <c r="AV149" s="289">
        <v>0</v>
      </c>
      <c r="AW149" s="290"/>
      <c r="AX149" s="289">
        <v>0</v>
      </c>
      <c r="AY149" s="290"/>
      <c r="AZ149" s="289">
        <v>0</v>
      </c>
      <c r="BA149" s="290"/>
      <c r="BB149" s="289">
        <v>0</v>
      </c>
      <c r="BC149" s="290"/>
      <c r="BD149" s="289">
        <v>0</v>
      </c>
      <c r="BE149" s="290"/>
      <c r="BF149" s="289">
        <v>0</v>
      </c>
      <c r="BG149" s="290"/>
      <c r="BH149" s="289">
        <v>0</v>
      </c>
      <c r="BI149" s="291"/>
      <c r="BJ149" s="292">
        <f t="shared" ref="BJ149:BJ156" si="10">D149+F149+H149+J149+X149+N149+P149+R149+T149+V149+AA149+AC149+AG149+AI149+AK149+AM149+AO149+AQ149+AS149+AV149+AX149+AZ149+BB149+BD149+BH149+BF149+AE149</f>
        <v>55780</v>
      </c>
      <c r="BK149" s="298"/>
      <c r="BL149" s="299"/>
      <c r="BM149" s="299"/>
      <c r="BN149" s="300"/>
    </row>
    <row r="150" spans="1:66" s="301" customFormat="1" ht="18" x14ac:dyDescent="0.25">
      <c r="A150" s="268" t="s">
        <v>692</v>
      </c>
      <c r="B150" s="317" t="s">
        <v>693</v>
      </c>
      <c r="C150" s="298"/>
      <c r="D150" s="289">
        <v>0</v>
      </c>
      <c r="E150" s="290"/>
      <c r="F150" s="289">
        <v>0</v>
      </c>
      <c r="G150" s="290"/>
      <c r="H150" s="289">
        <v>0</v>
      </c>
      <c r="I150" s="290"/>
      <c r="J150" s="289">
        <v>0</v>
      </c>
      <c r="K150" s="290"/>
      <c r="L150" s="289"/>
      <c r="M150" s="290"/>
      <c r="N150" s="289">
        <f>'MCS Budget - Detailed'!N940+'MCS Budget - Detailed'!N941+'MCS Budget - Detailed'!N942+'MCS Budget - Detailed'!N943+'MCS Budget - Detailed'!N944+'MCS Budget - Detailed'!N945+'MCS Budget - Detailed'!N946+'MCS Budget - Detailed'!N947+'MCS Budget - Detailed'!N948+'MCS Budget - Detailed'!N949+'MCS Budget - Detailed'!N950+'MCS Budget - Detailed'!N951</f>
        <v>24469</v>
      </c>
      <c r="O150" s="290"/>
      <c r="P150" s="289">
        <v>0</v>
      </c>
      <c r="Q150" s="290"/>
      <c r="R150" s="289">
        <v>0</v>
      </c>
      <c r="S150" s="290"/>
      <c r="T150" s="289">
        <v>0</v>
      </c>
      <c r="U150" s="290"/>
      <c r="V150" s="289">
        <v>0</v>
      </c>
      <c r="W150" s="290"/>
      <c r="X150" s="289">
        <v>0</v>
      </c>
      <c r="Y150" s="290"/>
      <c r="Z150" s="290"/>
      <c r="AA150" s="289">
        <v>0</v>
      </c>
      <c r="AB150" s="290"/>
      <c r="AC150" s="289">
        <v>0</v>
      </c>
      <c r="AD150" s="290"/>
      <c r="AE150" s="289">
        <v>0</v>
      </c>
      <c r="AF150" s="290"/>
      <c r="AG150" s="289">
        <v>0</v>
      </c>
      <c r="AH150" s="290"/>
      <c r="AI150" s="289">
        <v>0</v>
      </c>
      <c r="AJ150" s="290"/>
      <c r="AK150" s="289">
        <v>0</v>
      </c>
      <c r="AL150" s="290"/>
      <c r="AM150" s="289">
        <v>0</v>
      </c>
      <c r="AN150" s="290"/>
      <c r="AO150" s="289">
        <v>0</v>
      </c>
      <c r="AP150" s="290"/>
      <c r="AQ150" s="289">
        <v>0</v>
      </c>
      <c r="AR150" s="290"/>
      <c r="AS150" s="289">
        <v>0</v>
      </c>
      <c r="AT150" s="290"/>
      <c r="AU150" s="290"/>
      <c r="AV150" s="289">
        <v>0</v>
      </c>
      <c r="AW150" s="290"/>
      <c r="AX150" s="289">
        <v>0</v>
      </c>
      <c r="AY150" s="290"/>
      <c r="AZ150" s="289">
        <v>0</v>
      </c>
      <c r="BA150" s="290"/>
      <c r="BB150" s="289">
        <v>0</v>
      </c>
      <c r="BC150" s="290"/>
      <c r="BD150" s="289">
        <v>0</v>
      </c>
      <c r="BE150" s="290"/>
      <c r="BF150" s="289">
        <v>0</v>
      </c>
      <c r="BG150" s="290"/>
      <c r="BH150" s="289">
        <v>0</v>
      </c>
      <c r="BI150" s="291"/>
      <c r="BJ150" s="292">
        <f t="shared" si="10"/>
        <v>24469</v>
      </c>
      <c r="BK150" s="298"/>
      <c r="BL150" s="299"/>
      <c r="BM150" s="299"/>
      <c r="BN150" s="300"/>
    </row>
    <row r="151" spans="1:66" s="301" customFormat="1" ht="18" x14ac:dyDescent="0.25">
      <c r="A151" s="268" t="s">
        <v>694</v>
      </c>
      <c r="B151" s="317" t="s">
        <v>482</v>
      </c>
      <c r="C151" s="298"/>
      <c r="D151" s="289">
        <v>0</v>
      </c>
      <c r="E151" s="290"/>
      <c r="F151" s="289">
        <v>0</v>
      </c>
      <c r="G151" s="290"/>
      <c r="H151" s="289">
        <v>0</v>
      </c>
      <c r="I151" s="290"/>
      <c r="J151" s="289">
        <f>'MCS Budget - Detailed'!N913</f>
        <v>0</v>
      </c>
      <c r="K151" s="290"/>
      <c r="L151" s="289"/>
      <c r="M151" s="290"/>
      <c r="N151" s="289">
        <f>'MCS Budget - Detailed'!N952</f>
        <v>4000</v>
      </c>
      <c r="O151" s="290"/>
      <c r="P151" s="289">
        <v>0</v>
      </c>
      <c r="Q151" s="290"/>
      <c r="R151" s="289">
        <v>0</v>
      </c>
      <c r="S151" s="290"/>
      <c r="T151" s="289">
        <v>0</v>
      </c>
      <c r="U151" s="290"/>
      <c r="V151" s="289">
        <v>0</v>
      </c>
      <c r="W151" s="290"/>
      <c r="X151" s="289">
        <v>0</v>
      </c>
      <c r="Y151" s="290"/>
      <c r="Z151" s="290"/>
      <c r="AA151" s="289">
        <v>0</v>
      </c>
      <c r="AB151" s="290"/>
      <c r="AC151" s="289">
        <v>0</v>
      </c>
      <c r="AD151" s="290"/>
      <c r="AE151" s="289">
        <v>0</v>
      </c>
      <c r="AF151" s="290"/>
      <c r="AG151" s="289">
        <v>0</v>
      </c>
      <c r="AH151" s="290"/>
      <c r="AI151" s="289">
        <v>0</v>
      </c>
      <c r="AJ151" s="290"/>
      <c r="AK151" s="289">
        <v>0</v>
      </c>
      <c r="AL151" s="290"/>
      <c r="AM151" s="289">
        <v>0</v>
      </c>
      <c r="AN151" s="290"/>
      <c r="AO151" s="289">
        <v>0</v>
      </c>
      <c r="AP151" s="290"/>
      <c r="AQ151" s="289">
        <v>0</v>
      </c>
      <c r="AR151" s="290"/>
      <c r="AS151" s="289">
        <v>0</v>
      </c>
      <c r="AT151" s="290"/>
      <c r="AU151" s="290"/>
      <c r="AV151" s="289">
        <v>0</v>
      </c>
      <c r="AW151" s="290"/>
      <c r="AX151" s="289">
        <v>0</v>
      </c>
      <c r="AY151" s="290"/>
      <c r="AZ151" s="289">
        <v>0</v>
      </c>
      <c r="BA151" s="290"/>
      <c r="BB151" s="289">
        <v>0</v>
      </c>
      <c r="BC151" s="290"/>
      <c r="BD151" s="289">
        <v>0</v>
      </c>
      <c r="BE151" s="290"/>
      <c r="BF151" s="289">
        <v>0</v>
      </c>
      <c r="BG151" s="290"/>
      <c r="BH151" s="289">
        <v>0</v>
      </c>
      <c r="BI151" s="291"/>
      <c r="BJ151" s="292">
        <f t="shared" si="10"/>
        <v>4000</v>
      </c>
      <c r="BK151" s="298"/>
      <c r="BL151" s="299"/>
      <c r="BM151" s="299"/>
      <c r="BN151" s="300"/>
    </row>
    <row r="152" spans="1:66" s="301" customFormat="1" ht="18" x14ac:dyDescent="0.25">
      <c r="A152" s="268" t="s">
        <v>749</v>
      </c>
      <c r="B152" s="317" t="s">
        <v>695</v>
      </c>
      <c r="C152" s="298"/>
      <c r="D152" s="289">
        <v>0</v>
      </c>
      <c r="E152" s="290"/>
      <c r="F152" s="289">
        <v>0</v>
      </c>
      <c r="G152" s="290"/>
      <c r="H152" s="289">
        <v>0</v>
      </c>
      <c r="I152" s="290"/>
      <c r="J152" s="289">
        <v>0</v>
      </c>
      <c r="K152" s="290"/>
      <c r="L152" s="289"/>
      <c r="M152" s="290"/>
      <c r="N152" s="289">
        <v>0</v>
      </c>
      <c r="O152" s="290"/>
      <c r="P152" s="289"/>
      <c r="Q152" s="290"/>
      <c r="R152" s="289">
        <v>0</v>
      </c>
      <c r="S152" s="290"/>
      <c r="T152" s="289"/>
      <c r="U152" s="290"/>
      <c r="V152" s="289"/>
      <c r="W152" s="290"/>
      <c r="X152" s="289"/>
      <c r="Y152" s="290"/>
      <c r="Z152" s="290"/>
      <c r="AA152" s="289"/>
      <c r="AB152" s="290"/>
      <c r="AC152" s="289">
        <v>0</v>
      </c>
      <c r="AD152" s="290"/>
      <c r="AE152" s="289"/>
      <c r="AF152" s="290"/>
      <c r="AG152" s="289">
        <v>0</v>
      </c>
      <c r="AH152" s="290"/>
      <c r="AI152" s="289"/>
      <c r="AJ152" s="290"/>
      <c r="AK152" s="289">
        <v>0</v>
      </c>
      <c r="AL152" s="290"/>
      <c r="AM152" s="289"/>
      <c r="AN152" s="290"/>
      <c r="AO152" s="289"/>
      <c r="AP152" s="290"/>
      <c r="AQ152" s="289"/>
      <c r="AR152" s="290"/>
      <c r="AS152" s="289"/>
      <c r="AT152" s="290"/>
      <c r="AU152" s="290"/>
      <c r="AV152" s="289"/>
      <c r="AW152" s="290"/>
      <c r="AX152" s="289"/>
      <c r="AY152" s="290"/>
      <c r="AZ152" s="289"/>
      <c r="BA152" s="290"/>
      <c r="BB152" s="289"/>
      <c r="BC152" s="290"/>
      <c r="BD152" s="289">
        <v>0</v>
      </c>
      <c r="BE152" s="290"/>
      <c r="BF152" s="289"/>
      <c r="BG152" s="290"/>
      <c r="BH152" s="289"/>
      <c r="BI152" s="291"/>
      <c r="BJ152" s="292">
        <f t="shared" si="10"/>
        <v>0</v>
      </c>
      <c r="BK152" s="298"/>
      <c r="BL152" s="299"/>
      <c r="BM152" s="299"/>
      <c r="BN152" s="300"/>
    </row>
    <row r="153" spans="1:66" s="301" customFormat="1" ht="18" x14ac:dyDescent="0.25">
      <c r="A153" s="268" t="s">
        <v>750</v>
      </c>
      <c r="B153" s="317" t="s">
        <v>696</v>
      </c>
      <c r="C153" s="298"/>
      <c r="D153" s="289">
        <v>0</v>
      </c>
      <c r="E153" s="290"/>
      <c r="F153" s="289">
        <v>0</v>
      </c>
      <c r="G153" s="290"/>
      <c r="H153" s="289">
        <v>0</v>
      </c>
      <c r="I153" s="290"/>
      <c r="J153" s="289">
        <v>0</v>
      </c>
      <c r="K153" s="290"/>
      <c r="L153" s="289"/>
      <c r="M153" s="290"/>
      <c r="N153" s="289">
        <f>'MCS Budget - Detailed'!N953+'MCS Budget - Detailed'!N954</f>
        <v>1600</v>
      </c>
      <c r="O153" s="290"/>
      <c r="P153" s="289"/>
      <c r="Q153" s="290"/>
      <c r="R153" s="289">
        <v>0</v>
      </c>
      <c r="S153" s="290"/>
      <c r="T153" s="289"/>
      <c r="U153" s="290"/>
      <c r="V153" s="289"/>
      <c r="W153" s="290"/>
      <c r="X153" s="289"/>
      <c r="Y153" s="290"/>
      <c r="Z153" s="290"/>
      <c r="AA153" s="289"/>
      <c r="AB153" s="290"/>
      <c r="AC153" s="289">
        <v>0</v>
      </c>
      <c r="AD153" s="290"/>
      <c r="AE153" s="289"/>
      <c r="AF153" s="290"/>
      <c r="AG153" s="289">
        <v>0</v>
      </c>
      <c r="AH153" s="290"/>
      <c r="AI153" s="289"/>
      <c r="AJ153" s="290"/>
      <c r="AK153" s="289">
        <v>0</v>
      </c>
      <c r="AL153" s="290"/>
      <c r="AM153" s="289"/>
      <c r="AN153" s="290"/>
      <c r="AO153" s="289"/>
      <c r="AP153" s="290"/>
      <c r="AQ153" s="289"/>
      <c r="AR153" s="290"/>
      <c r="AS153" s="289"/>
      <c r="AT153" s="290"/>
      <c r="AU153" s="290"/>
      <c r="AV153" s="289"/>
      <c r="AW153" s="290"/>
      <c r="AX153" s="289"/>
      <c r="AY153" s="290"/>
      <c r="AZ153" s="289"/>
      <c r="BA153" s="290"/>
      <c r="BB153" s="289"/>
      <c r="BC153" s="290"/>
      <c r="BD153" s="289">
        <v>0</v>
      </c>
      <c r="BE153" s="290"/>
      <c r="BF153" s="289"/>
      <c r="BG153" s="290"/>
      <c r="BH153" s="289"/>
      <c r="BI153" s="291"/>
      <c r="BJ153" s="292">
        <f t="shared" si="10"/>
        <v>1600</v>
      </c>
      <c r="BK153" s="298"/>
      <c r="BL153" s="299"/>
      <c r="BM153" s="299"/>
      <c r="BN153" s="300"/>
    </row>
    <row r="154" spans="1:66" s="301" customFormat="1" ht="18" x14ac:dyDescent="0.25">
      <c r="A154" s="268" t="s">
        <v>697</v>
      </c>
      <c r="B154" s="317" t="s">
        <v>624</v>
      </c>
      <c r="C154" s="298"/>
      <c r="D154" s="289">
        <f>'MCS Budget - Detailed'!N843</f>
        <v>0</v>
      </c>
      <c r="E154" s="290"/>
      <c r="F154" s="289">
        <v>0</v>
      </c>
      <c r="G154" s="290"/>
      <c r="H154" s="289">
        <v>0</v>
      </c>
      <c r="I154" s="290"/>
      <c r="J154" s="289">
        <v>0</v>
      </c>
      <c r="K154" s="290"/>
      <c r="L154" s="289"/>
      <c r="M154" s="290"/>
      <c r="N154" s="289">
        <f>'MCS Budget - Detailed'!N955+'MCS Budget - Detailed'!N956+'MCS Budget - Detailed'!N957+'MCS Budget - Detailed'!N958+'MCS Budget - Detailed'!N959+'MCS Budget - Detailed'!N960+'MCS Budget - Detailed'!N961</f>
        <v>64349</v>
      </c>
      <c r="O154" s="290"/>
      <c r="P154" s="289">
        <v>0</v>
      </c>
      <c r="Q154" s="290"/>
      <c r="R154" s="289">
        <v>0</v>
      </c>
      <c r="S154" s="290"/>
      <c r="T154" s="289">
        <v>0</v>
      </c>
      <c r="U154" s="290"/>
      <c r="V154" s="289">
        <v>0</v>
      </c>
      <c r="W154" s="290"/>
      <c r="X154" s="289">
        <v>0</v>
      </c>
      <c r="Y154" s="290"/>
      <c r="Z154" s="290"/>
      <c r="AA154" s="289">
        <v>0</v>
      </c>
      <c r="AB154" s="290"/>
      <c r="AC154" s="289">
        <v>0</v>
      </c>
      <c r="AD154" s="290"/>
      <c r="AE154" s="289">
        <v>0</v>
      </c>
      <c r="AF154" s="290"/>
      <c r="AG154" s="289">
        <v>0</v>
      </c>
      <c r="AH154" s="290"/>
      <c r="AI154" s="289">
        <v>0</v>
      </c>
      <c r="AJ154" s="290"/>
      <c r="AK154" s="289">
        <v>0</v>
      </c>
      <c r="AL154" s="290"/>
      <c r="AM154" s="289">
        <v>0</v>
      </c>
      <c r="AN154" s="290"/>
      <c r="AO154" s="289">
        <v>0</v>
      </c>
      <c r="AP154" s="290"/>
      <c r="AQ154" s="289">
        <v>0</v>
      </c>
      <c r="AR154" s="290"/>
      <c r="AS154" s="289">
        <v>0</v>
      </c>
      <c r="AT154" s="290"/>
      <c r="AU154" s="290"/>
      <c r="AV154" s="289">
        <v>0</v>
      </c>
      <c r="AW154" s="290"/>
      <c r="AX154" s="289">
        <v>0</v>
      </c>
      <c r="AY154" s="290"/>
      <c r="AZ154" s="289">
        <v>0</v>
      </c>
      <c r="BA154" s="290"/>
      <c r="BB154" s="289">
        <v>0</v>
      </c>
      <c r="BC154" s="290"/>
      <c r="BD154" s="289">
        <v>0</v>
      </c>
      <c r="BE154" s="290"/>
      <c r="BF154" s="289">
        <v>0</v>
      </c>
      <c r="BG154" s="290"/>
      <c r="BH154" s="289">
        <v>0</v>
      </c>
      <c r="BI154" s="291"/>
      <c r="BJ154" s="292">
        <f t="shared" si="10"/>
        <v>64349</v>
      </c>
      <c r="BK154" s="298"/>
      <c r="BL154" s="299"/>
      <c r="BM154" s="299"/>
      <c r="BN154" s="300"/>
    </row>
    <row r="155" spans="1:66" s="301" customFormat="1" ht="18" x14ac:dyDescent="0.25">
      <c r="A155" s="268" t="s">
        <v>698</v>
      </c>
      <c r="B155" s="317" t="s">
        <v>492</v>
      </c>
      <c r="C155" s="298"/>
      <c r="D155" s="289">
        <v>0</v>
      </c>
      <c r="E155" s="290"/>
      <c r="F155" s="289">
        <v>0</v>
      </c>
      <c r="G155" s="290"/>
      <c r="H155" s="289">
        <v>0</v>
      </c>
      <c r="I155" s="290"/>
      <c r="J155" s="289">
        <v>0</v>
      </c>
      <c r="K155" s="290"/>
      <c r="L155" s="289"/>
      <c r="M155" s="290"/>
      <c r="N155" s="289">
        <f>'MCS Budget - Detailed'!N963</f>
        <v>3000</v>
      </c>
      <c r="O155" s="290"/>
      <c r="P155" s="289">
        <v>0</v>
      </c>
      <c r="Q155" s="290"/>
      <c r="R155" s="289">
        <v>0</v>
      </c>
      <c r="S155" s="290"/>
      <c r="T155" s="289">
        <v>0</v>
      </c>
      <c r="U155" s="290"/>
      <c r="V155" s="289">
        <v>0</v>
      </c>
      <c r="W155" s="290"/>
      <c r="X155" s="289">
        <v>0</v>
      </c>
      <c r="Y155" s="290"/>
      <c r="Z155" s="290"/>
      <c r="AA155" s="289">
        <v>0</v>
      </c>
      <c r="AB155" s="290"/>
      <c r="AC155" s="289">
        <v>0</v>
      </c>
      <c r="AD155" s="290"/>
      <c r="AE155" s="289">
        <v>0</v>
      </c>
      <c r="AF155" s="290"/>
      <c r="AG155" s="289">
        <v>0</v>
      </c>
      <c r="AH155" s="290"/>
      <c r="AI155" s="289">
        <v>0</v>
      </c>
      <c r="AJ155" s="290"/>
      <c r="AK155" s="289">
        <v>0</v>
      </c>
      <c r="AL155" s="290"/>
      <c r="AM155" s="289">
        <v>0</v>
      </c>
      <c r="AN155" s="290"/>
      <c r="AO155" s="289">
        <v>0</v>
      </c>
      <c r="AP155" s="290"/>
      <c r="AQ155" s="289">
        <v>0</v>
      </c>
      <c r="AR155" s="290"/>
      <c r="AS155" s="289">
        <v>0</v>
      </c>
      <c r="AT155" s="290"/>
      <c r="AU155" s="290"/>
      <c r="AV155" s="289">
        <v>0</v>
      </c>
      <c r="AW155" s="290"/>
      <c r="AX155" s="289">
        <v>0</v>
      </c>
      <c r="AY155" s="290"/>
      <c r="AZ155" s="289">
        <v>0</v>
      </c>
      <c r="BA155" s="290"/>
      <c r="BB155" s="289">
        <v>0</v>
      </c>
      <c r="BC155" s="290"/>
      <c r="BD155" s="289">
        <v>0</v>
      </c>
      <c r="BE155" s="290"/>
      <c r="BF155" s="289">
        <v>0</v>
      </c>
      <c r="BG155" s="290"/>
      <c r="BH155" s="289">
        <v>0</v>
      </c>
      <c r="BI155" s="291"/>
      <c r="BJ155" s="292">
        <f t="shared" si="10"/>
        <v>3000</v>
      </c>
      <c r="BK155" s="298"/>
      <c r="BL155" s="299"/>
      <c r="BM155" s="299"/>
      <c r="BN155" s="300"/>
    </row>
    <row r="156" spans="1:66" s="301" customFormat="1" ht="18.75" thickBot="1" x14ac:dyDescent="0.3">
      <c r="A156" s="268" t="s">
        <v>699</v>
      </c>
      <c r="B156" s="317" t="s">
        <v>721</v>
      </c>
      <c r="C156" s="298"/>
      <c r="D156" s="289">
        <v>0</v>
      </c>
      <c r="E156" s="290"/>
      <c r="F156" s="289">
        <v>0</v>
      </c>
      <c r="G156" s="290"/>
      <c r="H156" s="289">
        <v>0</v>
      </c>
      <c r="I156" s="290"/>
      <c r="J156" s="289">
        <v>0</v>
      </c>
      <c r="K156" s="290"/>
      <c r="L156" s="289"/>
      <c r="M156" s="290"/>
      <c r="N156" s="289">
        <v>0</v>
      </c>
      <c r="O156" s="290"/>
      <c r="P156" s="289">
        <v>0</v>
      </c>
      <c r="Q156" s="290"/>
      <c r="R156" s="289">
        <v>0</v>
      </c>
      <c r="S156" s="290"/>
      <c r="T156" s="289">
        <v>0</v>
      </c>
      <c r="U156" s="290"/>
      <c r="V156" s="289">
        <v>0</v>
      </c>
      <c r="W156" s="290"/>
      <c r="X156" s="289">
        <v>0</v>
      </c>
      <c r="Y156" s="290"/>
      <c r="Z156" s="290"/>
      <c r="AA156" s="289">
        <v>0</v>
      </c>
      <c r="AB156" s="290"/>
      <c r="AC156" s="289">
        <v>0</v>
      </c>
      <c r="AD156" s="290"/>
      <c r="AE156" s="289">
        <v>0</v>
      </c>
      <c r="AF156" s="290"/>
      <c r="AG156" s="289">
        <v>0</v>
      </c>
      <c r="AH156" s="290"/>
      <c r="AI156" s="289">
        <v>0</v>
      </c>
      <c r="AJ156" s="290"/>
      <c r="AK156" s="289">
        <v>0</v>
      </c>
      <c r="AL156" s="290"/>
      <c r="AM156" s="289">
        <v>0</v>
      </c>
      <c r="AN156" s="290"/>
      <c r="AO156" s="289">
        <v>0</v>
      </c>
      <c r="AP156" s="290"/>
      <c r="AQ156" s="289">
        <v>0</v>
      </c>
      <c r="AR156" s="290"/>
      <c r="AS156" s="289">
        <v>0</v>
      </c>
      <c r="AT156" s="290"/>
      <c r="AU156" s="290"/>
      <c r="AV156" s="289">
        <v>0</v>
      </c>
      <c r="AW156" s="290"/>
      <c r="AX156" s="289">
        <v>0</v>
      </c>
      <c r="AY156" s="290"/>
      <c r="AZ156" s="289">
        <v>0</v>
      </c>
      <c r="BA156" s="290"/>
      <c r="BB156" s="289">
        <v>0</v>
      </c>
      <c r="BC156" s="290"/>
      <c r="BD156" s="289">
        <v>0</v>
      </c>
      <c r="BE156" s="290"/>
      <c r="BF156" s="289">
        <v>0</v>
      </c>
      <c r="BG156" s="290"/>
      <c r="BH156" s="289">
        <v>0</v>
      </c>
      <c r="BI156" s="291"/>
      <c r="BJ156" s="292">
        <f t="shared" si="10"/>
        <v>0</v>
      </c>
      <c r="BK156" s="298"/>
      <c r="BL156" s="299"/>
      <c r="BM156" s="299"/>
      <c r="BN156" s="300"/>
    </row>
    <row r="157" spans="1:66" s="301" customFormat="1" ht="18.75" thickBot="1" x14ac:dyDescent="0.3">
      <c r="A157" s="303" t="s">
        <v>722</v>
      </c>
      <c r="B157" s="312"/>
      <c r="C157" s="307"/>
      <c r="D157" s="306">
        <f>SUM(D149:D156)</f>
        <v>0</v>
      </c>
      <c r="E157" s="307"/>
      <c r="F157" s="306">
        <f>SUM(F149:F156)</f>
        <v>0</v>
      </c>
      <c r="G157" s="307"/>
      <c r="H157" s="306">
        <f>SUM(H149:H156)</f>
        <v>0</v>
      </c>
      <c r="I157" s="307"/>
      <c r="J157" s="306">
        <f>SUM(J149:J156)</f>
        <v>0</v>
      </c>
      <c r="K157" s="307"/>
      <c r="L157" s="306">
        <f>SUM(L149:L156)</f>
        <v>0</v>
      </c>
      <c r="M157" s="307"/>
      <c r="N157" s="306">
        <f>SUM(N149:N156)</f>
        <v>153198</v>
      </c>
      <c r="O157" s="307"/>
      <c r="P157" s="306">
        <f>SUM(P149:P156)</f>
        <v>0</v>
      </c>
      <c r="Q157" s="307"/>
      <c r="R157" s="306">
        <f>SUM(R149:R156)</f>
        <v>0</v>
      </c>
      <c r="S157" s="307"/>
      <c r="T157" s="306">
        <f>SUM(T149:T156)</f>
        <v>0</v>
      </c>
      <c r="U157" s="307"/>
      <c r="V157" s="306">
        <f>SUM(V149:V156)</f>
        <v>0</v>
      </c>
      <c r="W157" s="307"/>
      <c r="X157" s="306">
        <f>SUM(X149:X156)</f>
        <v>0</v>
      </c>
      <c r="Y157" s="307"/>
      <c r="Z157" s="307"/>
      <c r="AA157" s="306">
        <f>SUM(AA149:AA156)</f>
        <v>0</v>
      </c>
      <c r="AB157" s="307"/>
      <c r="AC157" s="306">
        <f>SUM(AC149:AC156)</f>
        <v>0</v>
      </c>
      <c r="AD157" s="307"/>
      <c r="AE157" s="306">
        <f>SUM(AE149:AE156)</f>
        <v>0</v>
      </c>
      <c r="AF157" s="307"/>
      <c r="AG157" s="306">
        <f>SUM(AG149:AG156)</f>
        <v>0</v>
      </c>
      <c r="AH157" s="307"/>
      <c r="AI157" s="306">
        <f>SUM(AI149:AI156)</f>
        <v>0</v>
      </c>
      <c r="AJ157" s="307"/>
      <c r="AK157" s="306">
        <f>SUM(AK149:AK156)</f>
        <v>0</v>
      </c>
      <c r="AL157" s="307"/>
      <c r="AM157" s="306">
        <f>SUM(AM149:AM156)</f>
        <v>0</v>
      </c>
      <c r="AN157" s="307"/>
      <c r="AO157" s="306">
        <f>SUM(AO149:AO156)</f>
        <v>0</v>
      </c>
      <c r="AP157" s="307"/>
      <c r="AQ157" s="306">
        <f>SUM(AQ149:AQ156)</f>
        <v>0</v>
      </c>
      <c r="AR157" s="307"/>
      <c r="AS157" s="306">
        <f>SUM(AS149:AS156)</f>
        <v>0</v>
      </c>
      <c r="AT157" s="307"/>
      <c r="AU157" s="307"/>
      <c r="AV157" s="306">
        <f>SUM(AV149:AV156)</f>
        <v>0</v>
      </c>
      <c r="AW157" s="307"/>
      <c r="AX157" s="306">
        <f>SUM(AX149:AX156)</f>
        <v>0</v>
      </c>
      <c r="AY157" s="307"/>
      <c r="AZ157" s="306">
        <f>SUM(AZ149:AZ156)</f>
        <v>0</v>
      </c>
      <c r="BA157" s="307"/>
      <c r="BB157" s="306">
        <f>SUM(BB149:BB156)</f>
        <v>0</v>
      </c>
      <c r="BC157" s="307"/>
      <c r="BD157" s="306">
        <f>SUM(BD149:BD156)</f>
        <v>0</v>
      </c>
      <c r="BE157" s="307"/>
      <c r="BF157" s="306">
        <f>SUM(BF149:BF156)</f>
        <v>0</v>
      </c>
      <c r="BG157" s="307"/>
      <c r="BH157" s="306">
        <f>SUM(BH149:BH156)</f>
        <v>0</v>
      </c>
      <c r="BI157" s="307"/>
      <c r="BJ157" s="306">
        <f>D157+F157+H157+J157+X157+N157+P157+R157+T157+V157+AA157+AC157+AG157+AI157+AK157+AM157+AO157+AQ157+AS157+AV157+AX157+AZ157+BB157+BD157+BH157+BF157+AE157</f>
        <v>153198</v>
      </c>
      <c r="BK157" s="307"/>
      <c r="BL157" s="308"/>
      <c r="BM157" s="308"/>
      <c r="BN157" s="300"/>
    </row>
    <row r="158" spans="1:66" s="301" customFormat="1" ht="18" x14ac:dyDescent="0.25">
      <c r="A158" s="268" t="s">
        <v>724</v>
      </c>
      <c r="B158" s="294"/>
      <c r="C158" s="298"/>
      <c r="D158" s="292"/>
      <c r="E158" s="291"/>
      <c r="F158" s="292"/>
      <c r="G158" s="291"/>
      <c r="H158" s="292"/>
      <c r="I158" s="291"/>
      <c r="J158" s="292"/>
      <c r="K158" s="291"/>
      <c r="L158" s="309"/>
      <c r="M158" s="291"/>
      <c r="N158" s="292"/>
      <c r="O158" s="291"/>
      <c r="P158" s="292"/>
      <c r="Q158" s="291"/>
      <c r="R158" s="292"/>
      <c r="S158" s="291"/>
      <c r="T158" s="292"/>
      <c r="U158" s="291"/>
      <c r="V158" s="292"/>
      <c r="W158" s="291"/>
      <c r="X158" s="292"/>
      <c r="Y158" s="291"/>
      <c r="Z158" s="291"/>
      <c r="AA158" s="292"/>
      <c r="AB158" s="291"/>
      <c r="AC158" s="292"/>
      <c r="AD158" s="291"/>
      <c r="AE158" s="292"/>
      <c r="AF158" s="291"/>
      <c r="AG158" s="292"/>
      <c r="AH158" s="291"/>
      <c r="AI158" s="292"/>
      <c r="AJ158" s="291"/>
      <c r="AK158" s="292"/>
      <c r="AL158" s="291"/>
      <c r="AM158" s="292"/>
      <c r="AN158" s="291"/>
      <c r="AO158" s="292"/>
      <c r="AP158" s="291"/>
      <c r="AQ158" s="292"/>
      <c r="AR158" s="291"/>
      <c r="AS158" s="292"/>
      <c r="AT158" s="291"/>
      <c r="AU158" s="291"/>
      <c r="AV158" s="292"/>
      <c r="AW158" s="291"/>
      <c r="AX158" s="292"/>
      <c r="AY158" s="291"/>
      <c r="AZ158" s="292"/>
      <c r="BA158" s="291"/>
      <c r="BB158" s="292"/>
      <c r="BC158" s="291"/>
      <c r="BD158" s="292"/>
      <c r="BE158" s="291"/>
      <c r="BF158" s="292"/>
      <c r="BG158" s="291"/>
      <c r="BH158" s="292"/>
      <c r="BI158" s="291"/>
      <c r="BJ158" s="300"/>
      <c r="BK158" s="298"/>
      <c r="BL158" s="299"/>
      <c r="BM158" s="299"/>
      <c r="BN158" s="300"/>
    </row>
    <row r="159" spans="1:66" s="301" customFormat="1" ht="18" x14ac:dyDescent="0.25">
      <c r="A159" s="268" t="s">
        <v>690</v>
      </c>
      <c r="B159" s="317" t="s">
        <v>691</v>
      </c>
      <c r="C159" s="298"/>
      <c r="D159" s="289">
        <v>0</v>
      </c>
      <c r="E159" s="290"/>
      <c r="F159" s="289">
        <v>0</v>
      </c>
      <c r="G159" s="290"/>
      <c r="H159" s="289">
        <v>0</v>
      </c>
      <c r="I159" s="290"/>
      <c r="J159" s="289">
        <v>0</v>
      </c>
      <c r="K159" s="290"/>
      <c r="L159" s="289"/>
      <c r="M159" s="290"/>
      <c r="N159" s="289">
        <v>0</v>
      </c>
      <c r="O159" s="290"/>
      <c r="P159" s="289">
        <v>0</v>
      </c>
      <c r="Q159" s="290"/>
      <c r="R159" s="289">
        <v>0</v>
      </c>
      <c r="S159" s="290"/>
      <c r="T159" s="289">
        <v>0</v>
      </c>
      <c r="U159" s="290"/>
      <c r="V159" s="289">
        <v>0</v>
      </c>
      <c r="W159" s="290"/>
      <c r="X159" s="289">
        <v>0</v>
      </c>
      <c r="Y159" s="290"/>
      <c r="Z159" s="290"/>
      <c r="AA159" s="289">
        <v>0</v>
      </c>
      <c r="AB159" s="290"/>
      <c r="AC159" s="289">
        <v>0</v>
      </c>
      <c r="AD159" s="290"/>
      <c r="AE159" s="289">
        <v>0</v>
      </c>
      <c r="AF159" s="290"/>
      <c r="AG159" s="289">
        <v>0</v>
      </c>
      <c r="AH159" s="290"/>
      <c r="AI159" s="289">
        <v>0</v>
      </c>
      <c r="AJ159" s="290"/>
      <c r="AK159" s="289">
        <v>0</v>
      </c>
      <c r="AL159" s="290"/>
      <c r="AM159" s="289">
        <v>0</v>
      </c>
      <c r="AN159" s="290"/>
      <c r="AO159" s="289">
        <v>0</v>
      </c>
      <c r="AP159" s="290"/>
      <c r="AQ159" s="289">
        <v>0</v>
      </c>
      <c r="AR159" s="290"/>
      <c r="AS159" s="289">
        <v>0</v>
      </c>
      <c r="AT159" s="290"/>
      <c r="AU159" s="290"/>
      <c r="AV159" s="289">
        <v>0</v>
      </c>
      <c r="AW159" s="290"/>
      <c r="AX159" s="289">
        <v>0</v>
      </c>
      <c r="AY159" s="290"/>
      <c r="AZ159" s="289">
        <v>0</v>
      </c>
      <c r="BA159" s="290"/>
      <c r="BB159" s="289">
        <v>0</v>
      </c>
      <c r="BC159" s="290"/>
      <c r="BD159" s="289">
        <v>0</v>
      </c>
      <c r="BE159" s="290"/>
      <c r="BF159" s="289">
        <v>0</v>
      </c>
      <c r="BG159" s="290"/>
      <c r="BH159" s="289">
        <v>0</v>
      </c>
      <c r="BI159" s="291"/>
      <c r="BJ159" s="292">
        <f t="shared" ref="BJ159:BJ164" si="11">D159+F159+H159+J159+X159+N159+P159+R159+T159+V159+AA159+AC159+AG159+AI159+AK159+AM159+AO159+AQ159+AS159+AV159+AX159+AZ159+BB159+BD159+BH159+BF159+AE159</f>
        <v>0</v>
      </c>
      <c r="BK159" s="298"/>
      <c r="BL159" s="299"/>
      <c r="BM159" s="299"/>
      <c r="BN159" s="300"/>
    </row>
    <row r="160" spans="1:66" s="301" customFormat="1" ht="18" x14ac:dyDescent="0.25">
      <c r="A160" s="268" t="s">
        <v>692</v>
      </c>
      <c r="B160" s="317" t="s">
        <v>693</v>
      </c>
      <c r="C160" s="298"/>
      <c r="D160" s="289">
        <v>0</v>
      </c>
      <c r="E160" s="290"/>
      <c r="F160" s="289">
        <v>0</v>
      </c>
      <c r="G160" s="290"/>
      <c r="H160" s="289">
        <v>0</v>
      </c>
      <c r="I160" s="290"/>
      <c r="J160" s="289">
        <v>0</v>
      </c>
      <c r="K160" s="290"/>
      <c r="L160" s="289"/>
      <c r="M160" s="290"/>
      <c r="N160" s="289">
        <v>0</v>
      </c>
      <c r="O160" s="290"/>
      <c r="P160" s="289">
        <v>0</v>
      </c>
      <c r="Q160" s="290"/>
      <c r="R160" s="289">
        <v>0</v>
      </c>
      <c r="S160" s="290"/>
      <c r="T160" s="289">
        <v>0</v>
      </c>
      <c r="U160" s="290"/>
      <c r="V160" s="289">
        <v>0</v>
      </c>
      <c r="W160" s="290"/>
      <c r="X160" s="289">
        <v>0</v>
      </c>
      <c r="Y160" s="290"/>
      <c r="Z160" s="290"/>
      <c r="AA160" s="289">
        <v>0</v>
      </c>
      <c r="AB160" s="290"/>
      <c r="AC160" s="289">
        <v>0</v>
      </c>
      <c r="AD160" s="290"/>
      <c r="AE160" s="289">
        <v>0</v>
      </c>
      <c r="AF160" s="290"/>
      <c r="AG160" s="289">
        <v>0</v>
      </c>
      <c r="AH160" s="290"/>
      <c r="AI160" s="289">
        <v>0</v>
      </c>
      <c r="AJ160" s="290"/>
      <c r="AK160" s="289">
        <v>0</v>
      </c>
      <c r="AL160" s="290"/>
      <c r="AM160" s="289">
        <v>0</v>
      </c>
      <c r="AN160" s="290"/>
      <c r="AO160" s="289">
        <v>0</v>
      </c>
      <c r="AP160" s="290"/>
      <c r="AQ160" s="289">
        <v>0</v>
      </c>
      <c r="AR160" s="290"/>
      <c r="AS160" s="289">
        <v>0</v>
      </c>
      <c r="AT160" s="290"/>
      <c r="AU160" s="290"/>
      <c r="AV160" s="289">
        <v>0</v>
      </c>
      <c r="AW160" s="290"/>
      <c r="AX160" s="289">
        <v>0</v>
      </c>
      <c r="AY160" s="290"/>
      <c r="AZ160" s="289">
        <v>0</v>
      </c>
      <c r="BA160" s="290"/>
      <c r="BB160" s="289">
        <v>0</v>
      </c>
      <c r="BC160" s="290"/>
      <c r="BD160" s="289">
        <v>0</v>
      </c>
      <c r="BE160" s="290"/>
      <c r="BF160" s="289">
        <v>0</v>
      </c>
      <c r="BG160" s="290"/>
      <c r="BH160" s="289">
        <v>0</v>
      </c>
      <c r="BI160" s="291"/>
      <c r="BJ160" s="292">
        <f t="shared" si="11"/>
        <v>0</v>
      </c>
      <c r="BK160" s="298"/>
      <c r="BL160" s="299"/>
      <c r="BM160" s="299"/>
      <c r="BN160" s="300"/>
    </row>
    <row r="161" spans="1:66" s="301" customFormat="1" ht="36" x14ac:dyDescent="0.25">
      <c r="A161" s="268" t="s">
        <v>694</v>
      </c>
      <c r="B161" s="317" t="s">
        <v>720</v>
      </c>
      <c r="C161" s="298"/>
      <c r="D161" s="302">
        <v>0</v>
      </c>
      <c r="E161" s="290"/>
      <c r="F161" s="302">
        <v>0</v>
      </c>
      <c r="G161" s="290"/>
      <c r="H161" s="302">
        <v>0</v>
      </c>
      <c r="I161" s="290"/>
      <c r="J161" s="302">
        <v>0</v>
      </c>
      <c r="K161" s="290"/>
      <c r="L161" s="289"/>
      <c r="M161" s="290"/>
      <c r="N161" s="302">
        <v>0</v>
      </c>
      <c r="O161" s="290"/>
      <c r="P161" s="302">
        <v>0</v>
      </c>
      <c r="Q161" s="290"/>
      <c r="R161" s="302">
        <v>0</v>
      </c>
      <c r="S161" s="290"/>
      <c r="T161" s="302">
        <v>0</v>
      </c>
      <c r="U161" s="290"/>
      <c r="V161" s="302">
        <v>0</v>
      </c>
      <c r="W161" s="290"/>
      <c r="X161" s="302">
        <v>0</v>
      </c>
      <c r="Y161" s="290"/>
      <c r="Z161" s="290"/>
      <c r="AA161" s="302">
        <v>0</v>
      </c>
      <c r="AB161" s="290"/>
      <c r="AC161" s="302">
        <v>0</v>
      </c>
      <c r="AD161" s="290"/>
      <c r="AE161" s="302">
        <v>0</v>
      </c>
      <c r="AF161" s="290"/>
      <c r="AG161" s="302">
        <v>0</v>
      </c>
      <c r="AH161" s="290"/>
      <c r="AI161" s="302">
        <v>0</v>
      </c>
      <c r="AJ161" s="290"/>
      <c r="AK161" s="302">
        <v>0</v>
      </c>
      <c r="AL161" s="290"/>
      <c r="AM161" s="302">
        <v>0</v>
      </c>
      <c r="AN161" s="290"/>
      <c r="AO161" s="302">
        <v>0</v>
      </c>
      <c r="AP161" s="290"/>
      <c r="AQ161" s="302">
        <v>0</v>
      </c>
      <c r="AR161" s="290"/>
      <c r="AS161" s="302">
        <v>0</v>
      </c>
      <c r="AT161" s="290"/>
      <c r="AU161" s="290"/>
      <c r="AV161" s="302">
        <v>0</v>
      </c>
      <c r="AW161" s="290"/>
      <c r="AX161" s="302">
        <v>0</v>
      </c>
      <c r="AY161" s="290"/>
      <c r="AZ161" s="302">
        <v>0</v>
      </c>
      <c r="BA161" s="290"/>
      <c r="BB161" s="302">
        <v>0</v>
      </c>
      <c r="BC161" s="290"/>
      <c r="BD161" s="302">
        <v>0</v>
      </c>
      <c r="BE161" s="290"/>
      <c r="BF161" s="302">
        <v>0</v>
      </c>
      <c r="BG161" s="290"/>
      <c r="BH161" s="302">
        <v>0</v>
      </c>
      <c r="BI161" s="291"/>
      <c r="BJ161" s="292">
        <f t="shared" si="11"/>
        <v>0</v>
      </c>
      <c r="BK161" s="298"/>
      <c r="BL161" s="299"/>
      <c r="BM161" s="299"/>
      <c r="BN161" s="300"/>
    </row>
    <row r="162" spans="1:66" s="301" customFormat="1" ht="18" x14ac:dyDescent="0.25">
      <c r="A162" s="268" t="s">
        <v>697</v>
      </c>
      <c r="B162" s="317" t="s">
        <v>624</v>
      </c>
      <c r="C162" s="298"/>
      <c r="D162" s="302">
        <v>0</v>
      </c>
      <c r="E162" s="290"/>
      <c r="F162" s="302">
        <v>0</v>
      </c>
      <c r="G162" s="290"/>
      <c r="H162" s="302">
        <v>0</v>
      </c>
      <c r="I162" s="290"/>
      <c r="J162" s="302">
        <v>0</v>
      </c>
      <c r="K162" s="290"/>
      <c r="L162" s="289"/>
      <c r="M162" s="290"/>
      <c r="N162" s="302">
        <v>0</v>
      </c>
      <c r="O162" s="290"/>
      <c r="P162" s="302">
        <v>0</v>
      </c>
      <c r="Q162" s="290"/>
      <c r="R162" s="302">
        <v>0</v>
      </c>
      <c r="S162" s="290"/>
      <c r="T162" s="302">
        <v>0</v>
      </c>
      <c r="U162" s="290"/>
      <c r="V162" s="302">
        <v>0</v>
      </c>
      <c r="W162" s="290"/>
      <c r="X162" s="302">
        <v>0</v>
      </c>
      <c r="Y162" s="290"/>
      <c r="Z162" s="290"/>
      <c r="AA162" s="302">
        <v>0</v>
      </c>
      <c r="AB162" s="290"/>
      <c r="AC162" s="302">
        <v>0</v>
      </c>
      <c r="AD162" s="290"/>
      <c r="AE162" s="302">
        <v>0</v>
      </c>
      <c r="AF162" s="290"/>
      <c r="AG162" s="302">
        <v>0</v>
      </c>
      <c r="AH162" s="290"/>
      <c r="AI162" s="302">
        <v>0</v>
      </c>
      <c r="AJ162" s="290"/>
      <c r="AK162" s="302">
        <v>0</v>
      </c>
      <c r="AL162" s="290"/>
      <c r="AM162" s="302">
        <v>0</v>
      </c>
      <c r="AN162" s="290"/>
      <c r="AO162" s="302">
        <v>0</v>
      </c>
      <c r="AP162" s="290"/>
      <c r="AQ162" s="302">
        <v>0</v>
      </c>
      <c r="AR162" s="290"/>
      <c r="AS162" s="302">
        <v>0</v>
      </c>
      <c r="AT162" s="290"/>
      <c r="AU162" s="290"/>
      <c r="AV162" s="302">
        <v>0</v>
      </c>
      <c r="AW162" s="290"/>
      <c r="AX162" s="302">
        <v>0</v>
      </c>
      <c r="AY162" s="290"/>
      <c r="AZ162" s="302">
        <v>0</v>
      </c>
      <c r="BA162" s="290"/>
      <c r="BB162" s="302">
        <v>0</v>
      </c>
      <c r="BC162" s="290"/>
      <c r="BD162" s="302">
        <v>0</v>
      </c>
      <c r="BE162" s="290"/>
      <c r="BF162" s="302">
        <v>0</v>
      </c>
      <c r="BG162" s="290"/>
      <c r="BH162" s="302">
        <v>0</v>
      </c>
      <c r="BI162" s="291"/>
      <c r="BJ162" s="292">
        <f t="shared" si="11"/>
        <v>0</v>
      </c>
      <c r="BK162" s="298"/>
      <c r="BL162" s="299"/>
      <c r="BM162" s="299"/>
      <c r="BN162" s="300"/>
    </row>
    <row r="163" spans="1:66" s="301" customFormat="1" ht="18" x14ac:dyDescent="0.25">
      <c r="A163" s="268" t="s">
        <v>698</v>
      </c>
      <c r="B163" s="317" t="s">
        <v>492</v>
      </c>
      <c r="C163" s="298"/>
      <c r="D163" s="302">
        <v>0</v>
      </c>
      <c r="E163" s="290"/>
      <c r="F163" s="302">
        <v>0</v>
      </c>
      <c r="G163" s="290"/>
      <c r="H163" s="302">
        <v>0</v>
      </c>
      <c r="I163" s="290"/>
      <c r="J163" s="302">
        <v>0</v>
      </c>
      <c r="K163" s="290"/>
      <c r="L163" s="289"/>
      <c r="M163" s="290"/>
      <c r="N163" s="302">
        <v>0</v>
      </c>
      <c r="O163" s="290"/>
      <c r="P163" s="302">
        <v>0</v>
      </c>
      <c r="Q163" s="290"/>
      <c r="R163" s="302">
        <v>0</v>
      </c>
      <c r="S163" s="290"/>
      <c r="T163" s="302">
        <v>0</v>
      </c>
      <c r="U163" s="290"/>
      <c r="V163" s="302">
        <v>0</v>
      </c>
      <c r="W163" s="290"/>
      <c r="X163" s="302">
        <v>0</v>
      </c>
      <c r="Y163" s="290"/>
      <c r="Z163" s="290"/>
      <c r="AA163" s="302">
        <v>0</v>
      </c>
      <c r="AB163" s="290"/>
      <c r="AC163" s="302">
        <v>0</v>
      </c>
      <c r="AD163" s="290"/>
      <c r="AE163" s="302">
        <v>0</v>
      </c>
      <c r="AF163" s="290"/>
      <c r="AG163" s="302">
        <v>0</v>
      </c>
      <c r="AH163" s="290"/>
      <c r="AI163" s="302">
        <v>0</v>
      </c>
      <c r="AJ163" s="290"/>
      <c r="AK163" s="302">
        <v>0</v>
      </c>
      <c r="AL163" s="290"/>
      <c r="AM163" s="302">
        <v>0</v>
      </c>
      <c r="AN163" s="290"/>
      <c r="AO163" s="302">
        <v>0</v>
      </c>
      <c r="AP163" s="290"/>
      <c r="AQ163" s="302">
        <v>0</v>
      </c>
      <c r="AR163" s="290"/>
      <c r="AS163" s="302">
        <v>0</v>
      </c>
      <c r="AT163" s="290"/>
      <c r="AU163" s="290"/>
      <c r="AV163" s="302">
        <v>0</v>
      </c>
      <c r="AW163" s="290"/>
      <c r="AX163" s="302">
        <v>0</v>
      </c>
      <c r="AY163" s="290"/>
      <c r="AZ163" s="302">
        <v>0</v>
      </c>
      <c r="BA163" s="290"/>
      <c r="BB163" s="302">
        <v>0</v>
      </c>
      <c r="BC163" s="290"/>
      <c r="BD163" s="302">
        <v>0</v>
      </c>
      <c r="BE163" s="290"/>
      <c r="BF163" s="302">
        <v>0</v>
      </c>
      <c r="BG163" s="290"/>
      <c r="BH163" s="302">
        <v>0</v>
      </c>
      <c r="BI163" s="291"/>
      <c r="BJ163" s="292">
        <f t="shared" si="11"/>
        <v>0</v>
      </c>
      <c r="BK163" s="298"/>
      <c r="BL163" s="299"/>
      <c r="BM163" s="299"/>
      <c r="BN163" s="300"/>
    </row>
    <row r="164" spans="1:66" s="301" customFormat="1" ht="18.75" thickBot="1" x14ac:dyDescent="0.3">
      <c r="A164" s="268" t="s">
        <v>699</v>
      </c>
      <c r="B164" s="317" t="s">
        <v>721</v>
      </c>
      <c r="C164" s="298"/>
      <c r="D164" s="302">
        <v>0</v>
      </c>
      <c r="E164" s="290"/>
      <c r="F164" s="302">
        <v>0</v>
      </c>
      <c r="G164" s="290"/>
      <c r="H164" s="302">
        <v>0</v>
      </c>
      <c r="I164" s="290"/>
      <c r="J164" s="302">
        <v>0</v>
      </c>
      <c r="K164" s="290"/>
      <c r="L164" s="289"/>
      <c r="M164" s="290"/>
      <c r="N164" s="302">
        <v>0</v>
      </c>
      <c r="O164" s="290"/>
      <c r="P164" s="302">
        <v>0</v>
      </c>
      <c r="Q164" s="290"/>
      <c r="R164" s="302">
        <v>0</v>
      </c>
      <c r="S164" s="290"/>
      <c r="T164" s="302">
        <v>0</v>
      </c>
      <c r="U164" s="290"/>
      <c r="V164" s="302">
        <v>0</v>
      </c>
      <c r="W164" s="290"/>
      <c r="X164" s="302">
        <v>0</v>
      </c>
      <c r="Y164" s="290"/>
      <c r="Z164" s="290"/>
      <c r="AA164" s="302">
        <v>0</v>
      </c>
      <c r="AB164" s="290"/>
      <c r="AC164" s="302">
        <v>0</v>
      </c>
      <c r="AD164" s="290"/>
      <c r="AE164" s="302">
        <v>0</v>
      </c>
      <c r="AF164" s="290"/>
      <c r="AG164" s="302">
        <v>0</v>
      </c>
      <c r="AH164" s="290"/>
      <c r="AI164" s="302">
        <v>0</v>
      </c>
      <c r="AJ164" s="290"/>
      <c r="AK164" s="302">
        <v>0</v>
      </c>
      <c r="AL164" s="290"/>
      <c r="AM164" s="302">
        <v>0</v>
      </c>
      <c r="AN164" s="290"/>
      <c r="AO164" s="302">
        <v>0</v>
      </c>
      <c r="AP164" s="290"/>
      <c r="AQ164" s="302">
        <v>0</v>
      </c>
      <c r="AR164" s="290"/>
      <c r="AS164" s="302">
        <v>0</v>
      </c>
      <c r="AT164" s="290"/>
      <c r="AU164" s="290"/>
      <c r="AV164" s="302">
        <v>0</v>
      </c>
      <c r="AW164" s="290"/>
      <c r="AX164" s="302">
        <v>0</v>
      </c>
      <c r="AY164" s="290"/>
      <c r="AZ164" s="302">
        <v>0</v>
      </c>
      <c r="BA164" s="290"/>
      <c r="BB164" s="302">
        <v>0</v>
      </c>
      <c r="BC164" s="290"/>
      <c r="BD164" s="302">
        <v>0</v>
      </c>
      <c r="BE164" s="290"/>
      <c r="BF164" s="302">
        <v>0</v>
      </c>
      <c r="BG164" s="290"/>
      <c r="BH164" s="302">
        <v>0</v>
      </c>
      <c r="BI164" s="291"/>
      <c r="BJ164" s="292">
        <f t="shared" si="11"/>
        <v>0</v>
      </c>
      <c r="BK164" s="298"/>
      <c r="BL164" s="299"/>
      <c r="BM164" s="299"/>
      <c r="BN164" s="300"/>
    </row>
    <row r="165" spans="1:66" s="301" customFormat="1" ht="18.75" thickBot="1" x14ac:dyDescent="0.3">
      <c r="A165" s="303" t="s">
        <v>725</v>
      </c>
      <c r="B165" s="312"/>
      <c r="C165" s="307"/>
      <c r="D165" s="306">
        <f>SUM(D159:D164)</f>
        <v>0</v>
      </c>
      <c r="E165" s="307"/>
      <c r="F165" s="306">
        <f>SUM(F159:F164)</f>
        <v>0</v>
      </c>
      <c r="G165" s="307"/>
      <c r="H165" s="306">
        <f>SUM(H159:H164)</f>
        <v>0</v>
      </c>
      <c r="I165" s="307"/>
      <c r="J165" s="306">
        <f>SUM(J159:J164)</f>
        <v>0</v>
      </c>
      <c r="K165" s="307"/>
      <c r="L165" s="306">
        <f>SUM(L159:L164)</f>
        <v>0</v>
      </c>
      <c r="M165" s="307"/>
      <c r="N165" s="306">
        <f>SUM(N159:N164)</f>
        <v>0</v>
      </c>
      <c r="O165" s="307"/>
      <c r="P165" s="306">
        <f>SUM(P159:P164)</f>
        <v>0</v>
      </c>
      <c r="Q165" s="307"/>
      <c r="R165" s="306">
        <f>SUM(R159:R164)</f>
        <v>0</v>
      </c>
      <c r="S165" s="307"/>
      <c r="T165" s="306">
        <f>SUM(T159:T164)</f>
        <v>0</v>
      </c>
      <c r="U165" s="307"/>
      <c r="V165" s="306">
        <f>SUM(V159:V164)</f>
        <v>0</v>
      </c>
      <c r="W165" s="307"/>
      <c r="X165" s="306">
        <f>SUM(X159:X164)</f>
        <v>0</v>
      </c>
      <c r="Y165" s="307"/>
      <c r="Z165" s="307"/>
      <c r="AA165" s="306">
        <f>SUM(AA159:AA164)</f>
        <v>0</v>
      </c>
      <c r="AB165" s="307"/>
      <c r="AC165" s="306">
        <f>SUM(AC159:AC164)</f>
        <v>0</v>
      </c>
      <c r="AD165" s="307"/>
      <c r="AE165" s="306">
        <f>SUM(AE159:AE164)</f>
        <v>0</v>
      </c>
      <c r="AF165" s="307"/>
      <c r="AG165" s="306">
        <f>SUM(AG159:AG164)</f>
        <v>0</v>
      </c>
      <c r="AH165" s="307"/>
      <c r="AI165" s="306">
        <f>SUM(AI159:AI164)</f>
        <v>0</v>
      </c>
      <c r="AJ165" s="307"/>
      <c r="AK165" s="306">
        <f>SUM(AK159:AK164)</f>
        <v>0</v>
      </c>
      <c r="AL165" s="307"/>
      <c r="AM165" s="306">
        <f>SUM(AM159:AM164)</f>
        <v>0</v>
      </c>
      <c r="AN165" s="307"/>
      <c r="AO165" s="306">
        <f>SUM(AO159:AO164)</f>
        <v>0</v>
      </c>
      <c r="AP165" s="307"/>
      <c r="AQ165" s="306">
        <f>SUM(AQ159:AQ164)</f>
        <v>0</v>
      </c>
      <c r="AR165" s="307"/>
      <c r="AS165" s="306">
        <f>SUM(AS159:AS164)</f>
        <v>0</v>
      </c>
      <c r="AT165" s="307"/>
      <c r="AU165" s="307"/>
      <c r="AV165" s="306">
        <f>SUM(AV159:AV164)</f>
        <v>0</v>
      </c>
      <c r="AW165" s="307"/>
      <c r="AX165" s="306">
        <f>SUM(AX159:AX164)</f>
        <v>0</v>
      </c>
      <c r="AY165" s="307"/>
      <c r="AZ165" s="306">
        <f>SUM(AZ159:AZ164)</f>
        <v>0</v>
      </c>
      <c r="BA165" s="307"/>
      <c r="BB165" s="306">
        <f>SUM(BB159:BB164)</f>
        <v>0</v>
      </c>
      <c r="BC165" s="307"/>
      <c r="BD165" s="306">
        <f>SUM(BD159:BD164)</f>
        <v>0</v>
      </c>
      <c r="BE165" s="307"/>
      <c r="BF165" s="306">
        <f>SUM(BF159:BF164)</f>
        <v>0</v>
      </c>
      <c r="BG165" s="307"/>
      <c r="BH165" s="306">
        <f>SUM(BH159:BH164)</f>
        <v>0</v>
      </c>
      <c r="BI165" s="307"/>
      <c r="BJ165" s="306">
        <f>D165+F165+H165+J165+X165+N165+P165+R165+T165+V165+AA165+AC165+AG165+AI165+AK165+AM165+AO165+AQ165+AS165+AV165+AX165+AZ165+BB165+BD165+BH165+BF165+AE165</f>
        <v>0</v>
      </c>
      <c r="BK165" s="307"/>
      <c r="BL165" s="308"/>
      <c r="BM165" s="308"/>
      <c r="BN165" s="300"/>
    </row>
    <row r="166" spans="1:66" s="301" customFormat="1" ht="18" x14ac:dyDescent="0.25">
      <c r="A166" s="268"/>
      <c r="B166" s="294"/>
      <c r="C166" s="291"/>
      <c r="D166" s="292"/>
      <c r="E166" s="291"/>
      <c r="F166" s="292"/>
      <c r="G166" s="291"/>
      <c r="H166" s="292"/>
      <c r="I166" s="291"/>
      <c r="J166" s="292"/>
      <c r="K166" s="291"/>
      <c r="L166" s="309"/>
      <c r="M166" s="291"/>
      <c r="N166" s="292"/>
      <c r="O166" s="291"/>
      <c r="P166" s="292"/>
      <c r="Q166" s="291"/>
      <c r="R166" s="292"/>
      <c r="S166" s="291"/>
      <c r="T166" s="292"/>
      <c r="U166" s="291"/>
      <c r="V166" s="292"/>
      <c r="W166" s="291"/>
      <c r="X166" s="292"/>
      <c r="Y166" s="291"/>
      <c r="Z166" s="291"/>
      <c r="AA166" s="292"/>
      <c r="AB166" s="291"/>
      <c r="AC166" s="292"/>
      <c r="AD166" s="291"/>
      <c r="AE166" s="292"/>
      <c r="AF166" s="291"/>
      <c r="AG166" s="292"/>
      <c r="AH166" s="291"/>
      <c r="AI166" s="292"/>
      <c r="AJ166" s="291"/>
      <c r="AK166" s="292"/>
      <c r="AL166" s="291"/>
      <c r="AM166" s="292"/>
      <c r="AN166" s="291"/>
      <c r="AO166" s="292"/>
      <c r="AP166" s="291"/>
      <c r="AQ166" s="292"/>
      <c r="AR166" s="291"/>
      <c r="AS166" s="292"/>
      <c r="AT166" s="291"/>
      <c r="AU166" s="291"/>
      <c r="AV166" s="292"/>
      <c r="AW166" s="291"/>
      <c r="AX166" s="292"/>
      <c r="AY166" s="291"/>
      <c r="AZ166" s="292"/>
      <c r="BA166" s="291"/>
      <c r="BB166" s="292"/>
      <c r="BC166" s="291"/>
      <c r="BD166" s="292"/>
      <c r="BE166" s="291"/>
      <c r="BF166" s="292"/>
      <c r="BG166" s="291"/>
      <c r="BH166" s="292"/>
      <c r="BI166" s="291"/>
      <c r="BJ166" s="292"/>
      <c r="BK166" s="291"/>
      <c r="BL166" s="299"/>
      <c r="BM166" s="299"/>
      <c r="BN166" s="300"/>
    </row>
    <row r="167" spans="1:66" s="301" customFormat="1" ht="18" x14ac:dyDescent="0.25">
      <c r="A167" s="268" t="s">
        <v>726</v>
      </c>
      <c r="B167" s="294"/>
      <c r="C167" s="298"/>
      <c r="D167" s="292"/>
      <c r="E167" s="291"/>
      <c r="F167" s="292"/>
      <c r="G167" s="291"/>
      <c r="H167" s="292"/>
      <c r="I167" s="291"/>
      <c r="J167" s="292"/>
      <c r="K167" s="291"/>
      <c r="L167" s="309"/>
      <c r="M167" s="291"/>
      <c r="N167" s="292"/>
      <c r="O167" s="291"/>
      <c r="P167" s="292"/>
      <c r="Q167" s="291"/>
      <c r="R167" s="292"/>
      <c r="S167" s="291"/>
      <c r="T167" s="292"/>
      <c r="U167" s="291"/>
      <c r="V167" s="292"/>
      <c r="W167" s="291"/>
      <c r="X167" s="292"/>
      <c r="Y167" s="291"/>
      <c r="Z167" s="291"/>
      <c r="AA167" s="292"/>
      <c r="AB167" s="291"/>
      <c r="AC167" s="292"/>
      <c r="AD167" s="291"/>
      <c r="AE167" s="292"/>
      <c r="AF167" s="291"/>
      <c r="AG167" s="292"/>
      <c r="AH167" s="291"/>
      <c r="AI167" s="292"/>
      <c r="AJ167" s="291"/>
      <c r="AK167" s="292"/>
      <c r="AL167" s="291"/>
      <c r="AM167" s="292"/>
      <c r="AN167" s="291"/>
      <c r="AO167" s="292"/>
      <c r="AP167" s="291"/>
      <c r="AQ167" s="292"/>
      <c r="AR167" s="291"/>
      <c r="AS167" s="292"/>
      <c r="AT167" s="291"/>
      <c r="AU167" s="291"/>
      <c r="AV167" s="292"/>
      <c r="AW167" s="291"/>
      <c r="AX167" s="292"/>
      <c r="AY167" s="291"/>
      <c r="AZ167" s="292"/>
      <c r="BA167" s="291"/>
      <c r="BB167" s="292"/>
      <c r="BC167" s="291"/>
      <c r="BD167" s="292"/>
      <c r="BE167" s="291"/>
      <c r="BF167" s="292"/>
      <c r="BG167" s="291"/>
      <c r="BH167" s="292"/>
      <c r="BI167" s="291"/>
      <c r="BJ167" s="300"/>
      <c r="BK167" s="298"/>
      <c r="BL167" s="299"/>
      <c r="BM167" s="299"/>
      <c r="BN167" s="300"/>
    </row>
    <row r="168" spans="1:66" s="301" customFormat="1" ht="18" x14ac:dyDescent="0.25">
      <c r="A168" s="268" t="s">
        <v>690</v>
      </c>
      <c r="B168" s="317" t="s">
        <v>691</v>
      </c>
      <c r="C168" s="298"/>
      <c r="D168" s="289">
        <v>0</v>
      </c>
      <c r="E168" s="290"/>
      <c r="F168" s="289">
        <v>0</v>
      </c>
      <c r="G168" s="290"/>
      <c r="H168" s="289">
        <v>0</v>
      </c>
      <c r="I168" s="290"/>
      <c r="J168" s="289">
        <v>0</v>
      </c>
      <c r="K168" s="290"/>
      <c r="L168" s="289"/>
      <c r="M168" s="290"/>
      <c r="N168" s="289">
        <v>0</v>
      </c>
      <c r="O168" s="290"/>
      <c r="P168" s="289">
        <v>0</v>
      </c>
      <c r="Q168" s="290"/>
      <c r="R168" s="289">
        <v>0</v>
      </c>
      <c r="S168" s="290"/>
      <c r="T168" s="289">
        <v>0</v>
      </c>
      <c r="U168" s="290"/>
      <c r="V168" s="289">
        <v>0</v>
      </c>
      <c r="W168" s="290"/>
      <c r="X168" s="289">
        <v>0</v>
      </c>
      <c r="Y168" s="290"/>
      <c r="Z168" s="290"/>
      <c r="AA168" s="289">
        <v>0</v>
      </c>
      <c r="AB168" s="290"/>
      <c r="AC168" s="289">
        <v>0</v>
      </c>
      <c r="AD168" s="290"/>
      <c r="AE168" s="289">
        <v>0</v>
      </c>
      <c r="AF168" s="290"/>
      <c r="AG168" s="289">
        <v>0</v>
      </c>
      <c r="AH168" s="290"/>
      <c r="AI168" s="289">
        <v>0</v>
      </c>
      <c r="AJ168" s="290"/>
      <c r="AK168" s="289">
        <v>0</v>
      </c>
      <c r="AL168" s="290"/>
      <c r="AM168" s="289">
        <v>0</v>
      </c>
      <c r="AN168" s="290"/>
      <c r="AO168" s="289">
        <v>0</v>
      </c>
      <c r="AP168" s="290"/>
      <c r="AQ168" s="289">
        <v>0</v>
      </c>
      <c r="AR168" s="290"/>
      <c r="AS168" s="289">
        <v>0</v>
      </c>
      <c r="AT168" s="290"/>
      <c r="AU168" s="290"/>
      <c r="AV168" s="289">
        <v>0</v>
      </c>
      <c r="AW168" s="290"/>
      <c r="AX168" s="289">
        <v>0</v>
      </c>
      <c r="AY168" s="290"/>
      <c r="AZ168" s="289">
        <v>0</v>
      </c>
      <c r="BA168" s="290"/>
      <c r="BB168" s="289">
        <v>0</v>
      </c>
      <c r="BC168" s="290"/>
      <c r="BD168" s="289">
        <v>0</v>
      </c>
      <c r="BE168" s="290"/>
      <c r="BF168" s="289">
        <v>0</v>
      </c>
      <c r="BG168" s="290"/>
      <c r="BH168" s="289">
        <v>0</v>
      </c>
      <c r="BI168" s="291"/>
      <c r="BJ168" s="292">
        <f t="shared" ref="BJ168:BJ173" si="12">D168+F168+H168+J168+X168+N168+P168+R168+T168+V168+AA168+AC168+AG168+AI168+AK168+AM168+AO168+AQ168+AS168+AV168+AX168+AZ168+BB168+BD168+BH168+BF168+AE168</f>
        <v>0</v>
      </c>
      <c r="BK168" s="298"/>
      <c r="BL168" s="299"/>
      <c r="BM168" s="299"/>
      <c r="BN168" s="300"/>
    </row>
    <row r="169" spans="1:66" s="301" customFormat="1" ht="18" x14ac:dyDescent="0.25">
      <c r="A169" s="268" t="s">
        <v>692</v>
      </c>
      <c r="B169" s="317" t="s">
        <v>693</v>
      </c>
      <c r="C169" s="298"/>
      <c r="D169" s="289">
        <v>0</v>
      </c>
      <c r="E169" s="290"/>
      <c r="F169" s="289">
        <v>0</v>
      </c>
      <c r="G169" s="290"/>
      <c r="H169" s="289">
        <v>0</v>
      </c>
      <c r="I169" s="290"/>
      <c r="J169" s="289">
        <v>0</v>
      </c>
      <c r="K169" s="290"/>
      <c r="L169" s="289"/>
      <c r="M169" s="290"/>
      <c r="N169" s="289">
        <v>0</v>
      </c>
      <c r="O169" s="290"/>
      <c r="P169" s="289">
        <v>0</v>
      </c>
      <c r="Q169" s="290"/>
      <c r="R169" s="289">
        <v>0</v>
      </c>
      <c r="S169" s="290"/>
      <c r="T169" s="289">
        <v>0</v>
      </c>
      <c r="U169" s="290"/>
      <c r="V169" s="289">
        <v>0</v>
      </c>
      <c r="W169" s="290"/>
      <c r="X169" s="289">
        <v>0</v>
      </c>
      <c r="Y169" s="290"/>
      <c r="Z169" s="290"/>
      <c r="AA169" s="289">
        <v>0</v>
      </c>
      <c r="AB169" s="290"/>
      <c r="AC169" s="289">
        <v>0</v>
      </c>
      <c r="AD169" s="290"/>
      <c r="AE169" s="289">
        <v>0</v>
      </c>
      <c r="AF169" s="290"/>
      <c r="AG169" s="289">
        <v>0</v>
      </c>
      <c r="AH169" s="290"/>
      <c r="AI169" s="289">
        <v>0</v>
      </c>
      <c r="AJ169" s="290"/>
      <c r="AK169" s="289">
        <v>0</v>
      </c>
      <c r="AL169" s="290"/>
      <c r="AM169" s="289">
        <v>0</v>
      </c>
      <c r="AN169" s="290"/>
      <c r="AO169" s="289">
        <v>0</v>
      </c>
      <c r="AP169" s="290"/>
      <c r="AQ169" s="289">
        <v>0</v>
      </c>
      <c r="AR169" s="290"/>
      <c r="AS169" s="289">
        <v>0</v>
      </c>
      <c r="AT169" s="290"/>
      <c r="AU169" s="290"/>
      <c r="AV169" s="289">
        <v>0</v>
      </c>
      <c r="AW169" s="290"/>
      <c r="AX169" s="289">
        <v>0</v>
      </c>
      <c r="AY169" s="290"/>
      <c r="AZ169" s="289">
        <v>0</v>
      </c>
      <c r="BA169" s="290"/>
      <c r="BB169" s="289">
        <v>0</v>
      </c>
      <c r="BC169" s="290"/>
      <c r="BD169" s="289">
        <v>0</v>
      </c>
      <c r="BE169" s="290"/>
      <c r="BF169" s="289">
        <v>0</v>
      </c>
      <c r="BG169" s="290"/>
      <c r="BH169" s="289">
        <v>0</v>
      </c>
      <c r="BI169" s="291"/>
      <c r="BJ169" s="292">
        <f t="shared" si="12"/>
        <v>0</v>
      </c>
      <c r="BK169" s="298"/>
      <c r="BL169" s="299"/>
      <c r="BM169" s="299"/>
      <c r="BN169" s="300"/>
    </row>
    <row r="170" spans="1:66" s="301" customFormat="1" ht="36" x14ac:dyDescent="0.25">
      <c r="A170" s="268" t="s">
        <v>694</v>
      </c>
      <c r="B170" s="317" t="s">
        <v>720</v>
      </c>
      <c r="C170" s="298"/>
      <c r="D170" s="302">
        <v>0</v>
      </c>
      <c r="E170" s="290"/>
      <c r="F170" s="302">
        <v>0</v>
      </c>
      <c r="G170" s="290"/>
      <c r="H170" s="302">
        <v>0</v>
      </c>
      <c r="I170" s="290"/>
      <c r="J170" s="302">
        <v>0</v>
      </c>
      <c r="K170" s="290"/>
      <c r="L170" s="289"/>
      <c r="M170" s="290"/>
      <c r="N170" s="302">
        <v>0</v>
      </c>
      <c r="O170" s="290"/>
      <c r="P170" s="302">
        <v>0</v>
      </c>
      <c r="Q170" s="290"/>
      <c r="R170" s="302">
        <v>0</v>
      </c>
      <c r="S170" s="290"/>
      <c r="T170" s="302">
        <v>0</v>
      </c>
      <c r="U170" s="290"/>
      <c r="V170" s="302">
        <v>0</v>
      </c>
      <c r="W170" s="290"/>
      <c r="X170" s="302">
        <v>0</v>
      </c>
      <c r="Y170" s="290"/>
      <c r="Z170" s="290"/>
      <c r="AA170" s="302">
        <v>0</v>
      </c>
      <c r="AB170" s="290"/>
      <c r="AC170" s="302">
        <v>0</v>
      </c>
      <c r="AD170" s="290"/>
      <c r="AE170" s="302">
        <v>0</v>
      </c>
      <c r="AF170" s="290"/>
      <c r="AG170" s="302">
        <v>0</v>
      </c>
      <c r="AH170" s="290"/>
      <c r="AI170" s="302">
        <v>0</v>
      </c>
      <c r="AJ170" s="290"/>
      <c r="AK170" s="302">
        <v>0</v>
      </c>
      <c r="AL170" s="290"/>
      <c r="AM170" s="302">
        <v>0</v>
      </c>
      <c r="AN170" s="290"/>
      <c r="AO170" s="302">
        <v>0</v>
      </c>
      <c r="AP170" s="290"/>
      <c r="AQ170" s="302">
        <v>0</v>
      </c>
      <c r="AR170" s="290"/>
      <c r="AS170" s="302">
        <v>0</v>
      </c>
      <c r="AT170" s="290"/>
      <c r="AU170" s="290"/>
      <c r="AV170" s="302">
        <v>0</v>
      </c>
      <c r="AW170" s="290"/>
      <c r="AX170" s="302">
        <v>0</v>
      </c>
      <c r="AY170" s="290"/>
      <c r="AZ170" s="302">
        <v>0</v>
      </c>
      <c r="BA170" s="290"/>
      <c r="BB170" s="302">
        <v>0</v>
      </c>
      <c r="BC170" s="290"/>
      <c r="BD170" s="302">
        <v>0</v>
      </c>
      <c r="BE170" s="290"/>
      <c r="BF170" s="302">
        <v>0</v>
      </c>
      <c r="BG170" s="290"/>
      <c r="BH170" s="302">
        <v>0</v>
      </c>
      <c r="BI170" s="291"/>
      <c r="BJ170" s="292">
        <f t="shared" si="12"/>
        <v>0</v>
      </c>
      <c r="BK170" s="298"/>
      <c r="BL170" s="299"/>
      <c r="BM170" s="299"/>
      <c r="BN170" s="300"/>
    </row>
    <row r="171" spans="1:66" s="301" customFormat="1" ht="18" x14ac:dyDescent="0.25">
      <c r="A171" s="268" t="s">
        <v>697</v>
      </c>
      <c r="B171" s="317" t="s">
        <v>624</v>
      </c>
      <c r="C171" s="298"/>
      <c r="D171" s="302">
        <v>0</v>
      </c>
      <c r="E171" s="290"/>
      <c r="F171" s="302">
        <v>0</v>
      </c>
      <c r="G171" s="290"/>
      <c r="H171" s="302">
        <v>0</v>
      </c>
      <c r="I171" s="290"/>
      <c r="J171" s="302">
        <v>0</v>
      </c>
      <c r="K171" s="290"/>
      <c r="L171" s="289"/>
      <c r="M171" s="290"/>
      <c r="N171" s="302">
        <v>0</v>
      </c>
      <c r="O171" s="290"/>
      <c r="P171" s="302">
        <v>0</v>
      </c>
      <c r="Q171" s="290"/>
      <c r="R171" s="302">
        <v>0</v>
      </c>
      <c r="S171" s="290"/>
      <c r="T171" s="302">
        <v>0</v>
      </c>
      <c r="U171" s="290"/>
      <c r="V171" s="302">
        <v>0</v>
      </c>
      <c r="W171" s="290"/>
      <c r="X171" s="302">
        <v>0</v>
      </c>
      <c r="Y171" s="290"/>
      <c r="Z171" s="290"/>
      <c r="AA171" s="302">
        <v>0</v>
      </c>
      <c r="AB171" s="290"/>
      <c r="AC171" s="302">
        <v>0</v>
      </c>
      <c r="AD171" s="290"/>
      <c r="AE171" s="302">
        <v>0</v>
      </c>
      <c r="AF171" s="290"/>
      <c r="AG171" s="302">
        <v>0</v>
      </c>
      <c r="AH171" s="290"/>
      <c r="AI171" s="302">
        <v>0</v>
      </c>
      <c r="AJ171" s="290"/>
      <c r="AK171" s="302">
        <v>0</v>
      </c>
      <c r="AL171" s="290"/>
      <c r="AM171" s="302">
        <v>0</v>
      </c>
      <c r="AN171" s="290"/>
      <c r="AO171" s="302">
        <v>0</v>
      </c>
      <c r="AP171" s="290"/>
      <c r="AQ171" s="302">
        <v>0</v>
      </c>
      <c r="AR171" s="290"/>
      <c r="AS171" s="302">
        <v>0</v>
      </c>
      <c r="AT171" s="290"/>
      <c r="AU171" s="290"/>
      <c r="AV171" s="302">
        <v>0</v>
      </c>
      <c r="AW171" s="290"/>
      <c r="AX171" s="302">
        <v>0</v>
      </c>
      <c r="AY171" s="290"/>
      <c r="AZ171" s="302">
        <v>0</v>
      </c>
      <c r="BA171" s="290"/>
      <c r="BB171" s="302">
        <v>0</v>
      </c>
      <c r="BC171" s="290"/>
      <c r="BD171" s="302">
        <v>0</v>
      </c>
      <c r="BE171" s="290"/>
      <c r="BF171" s="302">
        <v>0</v>
      </c>
      <c r="BG171" s="290"/>
      <c r="BH171" s="302">
        <v>0</v>
      </c>
      <c r="BI171" s="291"/>
      <c r="BJ171" s="292">
        <f t="shared" si="12"/>
        <v>0</v>
      </c>
      <c r="BK171" s="298"/>
      <c r="BL171" s="299"/>
      <c r="BM171" s="299"/>
      <c r="BN171" s="300"/>
    </row>
    <row r="172" spans="1:66" s="301" customFormat="1" ht="18" x14ac:dyDescent="0.25">
      <c r="A172" s="268" t="s">
        <v>710</v>
      </c>
      <c r="B172" s="317" t="s">
        <v>492</v>
      </c>
      <c r="C172" s="298"/>
      <c r="D172" s="302">
        <v>0</v>
      </c>
      <c r="E172" s="290"/>
      <c r="F172" s="302">
        <v>0</v>
      </c>
      <c r="G172" s="290"/>
      <c r="H172" s="302">
        <v>0</v>
      </c>
      <c r="I172" s="290"/>
      <c r="J172" s="302">
        <v>0</v>
      </c>
      <c r="K172" s="290"/>
      <c r="L172" s="289"/>
      <c r="M172" s="290"/>
      <c r="N172" s="302">
        <v>0</v>
      </c>
      <c r="O172" s="290"/>
      <c r="P172" s="302">
        <v>0</v>
      </c>
      <c r="Q172" s="290"/>
      <c r="R172" s="302">
        <v>0</v>
      </c>
      <c r="S172" s="290"/>
      <c r="T172" s="302">
        <v>0</v>
      </c>
      <c r="U172" s="290"/>
      <c r="V172" s="302">
        <v>0</v>
      </c>
      <c r="W172" s="290"/>
      <c r="X172" s="302">
        <v>0</v>
      </c>
      <c r="Y172" s="290"/>
      <c r="Z172" s="290"/>
      <c r="AA172" s="302">
        <v>0</v>
      </c>
      <c r="AB172" s="290"/>
      <c r="AC172" s="302">
        <v>0</v>
      </c>
      <c r="AD172" s="290"/>
      <c r="AE172" s="302">
        <v>0</v>
      </c>
      <c r="AF172" s="290"/>
      <c r="AG172" s="302">
        <v>0</v>
      </c>
      <c r="AH172" s="290"/>
      <c r="AI172" s="302">
        <v>0</v>
      </c>
      <c r="AJ172" s="290"/>
      <c r="AK172" s="302">
        <v>0</v>
      </c>
      <c r="AL172" s="290"/>
      <c r="AM172" s="302">
        <v>0</v>
      </c>
      <c r="AN172" s="290"/>
      <c r="AO172" s="302">
        <v>0</v>
      </c>
      <c r="AP172" s="290"/>
      <c r="AQ172" s="302">
        <v>0</v>
      </c>
      <c r="AR172" s="290"/>
      <c r="AS172" s="302">
        <v>0</v>
      </c>
      <c r="AT172" s="290"/>
      <c r="AU172" s="290"/>
      <c r="AV172" s="302">
        <v>0</v>
      </c>
      <c r="AW172" s="290"/>
      <c r="AX172" s="302">
        <v>0</v>
      </c>
      <c r="AY172" s="290"/>
      <c r="AZ172" s="302">
        <v>0</v>
      </c>
      <c r="BA172" s="290"/>
      <c r="BB172" s="302">
        <v>0</v>
      </c>
      <c r="BC172" s="290"/>
      <c r="BD172" s="302">
        <v>0</v>
      </c>
      <c r="BE172" s="290"/>
      <c r="BF172" s="302">
        <v>0</v>
      </c>
      <c r="BG172" s="290"/>
      <c r="BH172" s="302">
        <v>0</v>
      </c>
      <c r="BI172" s="291"/>
      <c r="BJ172" s="292">
        <f t="shared" si="12"/>
        <v>0</v>
      </c>
      <c r="BK172" s="298"/>
      <c r="BL172" s="299"/>
      <c r="BM172" s="299"/>
      <c r="BN172" s="300"/>
    </row>
    <row r="173" spans="1:66" s="301" customFormat="1" ht="18.75" thickBot="1" x14ac:dyDescent="0.3">
      <c r="A173" s="268" t="s">
        <v>699</v>
      </c>
      <c r="B173" s="317" t="s">
        <v>721</v>
      </c>
      <c r="C173" s="298"/>
      <c r="D173" s="302">
        <v>0</v>
      </c>
      <c r="E173" s="290"/>
      <c r="F173" s="302">
        <v>0</v>
      </c>
      <c r="G173" s="290"/>
      <c r="H173" s="302">
        <v>0</v>
      </c>
      <c r="I173" s="290"/>
      <c r="J173" s="302">
        <v>0</v>
      </c>
      <c r="K173" s="290"/>
      <c r="L173" s="289"/>
      <c r="M173" s="290"/>
      <c r="N173" s="302">
        <v>0</v>
      </c>
      <c r="O173" s="290"/>
      <c r="P173" s="302">
        <v>0</v>
      </c>
      <c r="Q173" s="290"/>
      <c r="R173" s="302">
        <v>0</v>
      </c>
      <c r="S173" s="290"/>
      <c r="T173" s="302">
        <v>0</v>
      </c>
      <c r="U173" s="290"/>
      <c r="V173" s="302">
        <v>0</v>
      </c>
      <c r="W173" s="290"/>
      <c r="X173" s="302">
        <v>0</v>
      </c>
      <c r="Y173" s="290"/>
      <c r="Z173" s="290"/>
      <c r="AA173" s="302">
        <v>0</v>
      </c>
      <c r="AB173" s="290"/>
      <c r="AC173" s="302">
        <v>0</v>
      </c>
      <c r="AD173" s="290"/>
      <c r="AE173" s="302">
        <v>0</v>
      </c>
      <c r="AF173" s="290"/>
      <c r="AG173" s="302">
        <v>0</v>
      </c>
      <c r="AH173" s="290"/>
      <c r="AI173" s="302">
        <v>0</v>
      </c>
      <c r="AJ173" s="290"/>
      <c r="AK173" s="302">
        <v>0</v>
      </c>
      <c r="AL173" s="290"/>
      <c r="AM173" s="302">
        <v>0</v>
      </c>
      <c r="AN173" s="290"/>
      <c r="AO173" s="302">
        <v>0</v>
      </c>
      <c r="AP173" s="290"/>
      <c r="AQ173" s="302">
        <v>0</v>
      </c>
      <c r="AR173" s="290"/>
      <c r="AS173" s="302">
        <v>0</v>
      </c>
      <c r="AT173" s="290"/>
      <c r="AU173" s="290"/>
      <c r="AV173" s="302">
        <v>0</v>
      </c>
      <c r="AW173" s="290"/>
      <c r="AX173" s="302">
        <v>0</v>
      </c>
      <c r="AY173" s="290"/>
      <c r="AZ173" s="302">
        <v>0</v>
      </c>
      <c r="BA173" s="290"/>
      <c r="BB173" s="302">
        <v>0</v>
      </c>
      <c r="BC173" s="290"/>
      <c r="BD173" s="302">
        <v>0</v>
      </c>
      <c r="BE173" s="290"/>
      <c r="BF173" s="302">
        <v>0</v>
      </c>
      <c r="BG173" s="290"/>
      <c r="BH173" s="302">
        <v>0</v>
      </c>
      <c r="BI173" s="291"/>
      <c r="BJ173" s="292">
        <f t="shared" si="12"/>
        <v>0</v>
      </c>
      <c r="BK173" s="298"/>
      <c r="BL173" s="299"/>
      <c r="BM173" s="299"/>
      <c r="BN173" s="300"/>
    </row>
    <row r="174" spans="1:66" s="301" customFormat="1" ht="18.75" thickBot="1" x14ac:dyDescent="0.3">
      <c r="A174" s="303" t="s">
        <v>727</v>
      </c>
      <c r="B174" s="312"/>
      <c r="C174" s="307"/>
      <c r="D174" s="306">
        <f>SUM(D168:D173)</f>
        <v>0</v>
      </c>
      <c r="E174" s="307"/>
      <c r="F174" s="306">
        <f>SUM(F168:F173)</f>
        <v>0</v>
      </c>
      <c r="G174" s="307"/>
      <c r="H174" s="306">
        <f>SUM(H168:H173)</f>
        <v>0</v>
      </c>
      <c r="I174" s="307"/>
      <c r="J174" s="306">
        <f>SUM(J168:J173)</f>
        <v>0</v>
      </c>
      <c r="K174" s="307"/>
      <c r="L174" s="306">
        <f>SUM(L168:L173)</f>
        <v>0</v>
      </c>
      <c r="M174" s="307"/>
      <c r="N174" s="306">
        <f>SUM(N168:N173)</f>
        <v>0</v>
      </c>
      <c r="O174" s="307"/>
      <c r="P174" s="306">
        <f>SUM(P168:P173)</f>
        <v>0</v>
      </c>
      <c r="Q174" s="307"/>
      <c r="R174" s="306">
        <f>SUM(R168:R173)</f>
        <v>0</v>
      </c>
      <c r="S174" s="307"/>
      <c r="T174" s="306">
        <f>SUM(T168:T173)</f>
        <v>0</v>
      </c>
      <c r="U174" s="307"/>
      <c r="V174" s="306">
        <f>SUM(V168:V173)</f>
        <v>0</v>
      </c>
      <c r="W174" s="307"/>
      <c r="X174" s="306">
        <f>SUM(X168:X173)</f>
        <v>0</v>
      </c>
      <c r="Y174" s="307"/>
      <c r="Z174" s="307"/>
      <c r="AA174" s="306">
        <f>SUM(AA168:AA173)</f>
        <v>0</v>
      </c>
      <c r="AB174" s="307"/>
      <c r="AC174" s="306">
        <f>SUM(AC168:AC173)</f>
        <v>0</v>
      </c>
      <c r="AD174" s="307"/>
      <c r="AE174" s="306">
        <f>SUM(AE168:AE173)</f>
        <v>0</v>
      </c>
      <c r="AF174" s="307"/>
      <c r="AG174" s="306">
        <f>SUM(AG168:AG173)</f>
        <v>0</v>
      </c>
      <c r="AH174" s="307"/>
      <c r="AI174" s="306">
        <f>SUM(AI168:AI173)</f>
        <v>0</v>
      </c>
      <c r="AJ174" s="307"/>
      <c r="AK174" s="306">
        <f>SUM(AK168:AK173)</f>
        <v>0</v>
      </c>
      <c r="AL174" s="307"/>
      <c r="AM174" s="306">
        <f>SUM(AM168:AM173)</f>
        <v>0</v>
      </c>
      <c r="AN174" s="307"/>
      <c r="AO174" s="306">
        <f>SUM(AO168:AO173)</f>
        <v>0</v>
      </c>
      <c r="AP174" s="307"/>
      <c r="AQ174" s="306">
        <f>SUM(AQ168:AQ173)</f>
        <v>0</v>
      </c>
      <c r="AR174" s="307"/>
      <c r="AS174" s="306">
        <f>SUM(AS168:AS173)</f>
        <v>0</v>
      </c>
      <c r="AT174" s="307"/>
      <c r="AU174" s="307"/>
      <c r="AV174" s="306">
        <f>SUM(AV168:AV173)</f>
        <v>0</v>
      </c>
      <c r="AW174" s="307"/>
      <c r="AX174" s="306">
        <f>SUM(AX168:AX173)</f>
        <v>0</v>
      </c>
      <c r="AY174" s="307"/>
      <c r="AZ174" s="306">
        <f>SUM(AZ168:AZ173)</f>
        <v>0</v>
      </c>
      <c r="BA174" s="307"/>
      <c r="BB174" s="306">
        <f>SUM(BB168:BB173)</f>
        <v>0</v>
      </c>
      <c r="BC174" s="307"/>
      <c r="BD174" s="306">
        <f>SUM(BD168:BD173)</f>
        <v>0</v>
      </c>
      <c r="BE174" s="307"/>
      <c r="BF174" s="306">
        <f>SUM(BF168:BF173)</f>
        <v>0</v>
      </c>
      <c r="BG174" s="307"/>
      <c r="BH174" s="306">
        <f>SUM(BH168:BH173)</f>
        <v>0</v>
      </c>
      <c r="BI174" s="307"/>
      <c r="BJ174" s="306">
        <f>D174+F174+H174+J174+X174+N174+P174+R174+T174+V174+AA174+AC174+AG174+AI174+AK174+AM174+AO174+AQ174+AS174+AV174+AX174+AZ174+BB174+BD174+BH174+BF174+AE174</f>
        <v>0</v>
      </c>
      <c r="BK174" s="307"/>
      <c r="BL174" s="308"/>
      <c r="BM174" s="308"/>
      <c r="BN174" s="300"/>
    </row>
    <row r="175" spans="1:66" s="301" customFormat="1" ht="18" x14ac:dyDescent="0.25">
      <c r="A175" s="268"/>
      <c r="B175" s="294"/>
      <c r="C175" s="293"/>
      <c r="D175" s="292"/>
      <c r="E175" s="291"/>
      <c r="F175" s="292"/>
      <c r="G175" s="291"/>
      <c r="H175" s="292"/>
      <c r="I175" s="291"/>
      <c r="J175" s="292"/>
      <c r="K175" s="291"/>
      <c r="L175" s="309"/>
      <c r="M175" s="291"/>
      <c r="N175" s="292"/>
      <c r="O175" s="291"/>
      <c r="P175" s="292"/>
      <c r="Q175" s="291"/>
      <c r="R175" s="292"/>
      <c r="S175" s="291"/>
      <c r="T175" s="292"/>
      <c r="U175" s="291"/>
      <c r="V175" s="292"/>
      <c r="W175" s="291"/>
      <c r="X175" s="292"/>
      <c r="Y175" s="291"/>
      <c r="Z175" s="291"/>
      <c r="AA175" s="292"/>
      <c r="AB175" s="291"/>
      <c r="AC175" s="292"/>
      <c r="AD175" s="291"/>
      <c r="AE175" s="292"/>
      <c r="AF175" s="291"/>
      <c r="AG175" s="292"/>
      <c r="AH175" s="291"/>
      <c r="AI175" s="292"/>
      <c r="AJ175" s="291"/>
      <c r="AK175" s="292"/>
      <c r="AL175" s="291"/>
      <c r="AM175" s="292"/>
      <c r="AN175" s="291"/>
      <c r="AO175" s="292"/>
      <c r="AP175" s="291"/>
      <c r="AQ175" s="292"/>
      <c r="AR175" s="291"/>
      <c r="AS175" s="292"/>
      <c r="AT175" s="291"/>
      <c r="AU175" s="291"/>
      <c r="AV175" s="292"/>
      <c r="AW175" s="291"/>
      <c r="AX175" s="292"/>
      <c r="AY175" s="291"/>
      <c r="AZ175" s="292"/>
      <c r="BA175" s="291"/>
      <c r="BB175" s="292"/>
      <c r="BC175" s="291"/>
      <c r="BD175" s="292"/>
      <c r="BE175" s="291"/>
      <c r="BF175" s="292"/>
      <c r="BG175" s="291"/>
      <c r="BH175" s="292"/>
      <c r="BI175" s="291"/>
      <c r="BJ175" s="292"/>
      <c r="BK175" s="293"/>
      <c r="BL175" s="299"/>
      <c r="BM175" s="299"/>
      <c r="BN175" s="300"/>
    </row>
    <row r="176" spans="1:66" s="301" customFormat="1" ht="18" x14ac:dyDescent="0.25">
      <c r="A176" s="268" t="s">
        <v>728</v>
      </c>
      <c r="B176" s="294"/>
      <c r="C176" s="291"/>
      <c r="D176" s="292"/>
      <c r="E176" s="291"/>
      <c r="F176" s="292"/>
      <c r="G176" s="291"/>
      <c r="H176" s="292"/>
      <c r="I176" s="291"/>
      <c r="J176" s="292"/>
      <c r="K176" s="291"/>
      <c r="L176" s="309"/>
      <c r="M176" s="291"/>
      <c r="N176" s="292"/>
      <c r="O176" s="291"/>
      <c r="P176" s="292"/>
      <c r="Q176" s="291"/>
      <c r="R176" s="292"/>
      <c r="S176" s="291"/>
      <c r="T176" s="292"/>
      <c r="U176" s="291"/>
      <c r="V176" s="292"/>
      <c r="W176" s="291"/>
      <c r="X176" s="292"/>
      <c r="Y176" s="291"/>
      <c r="Z176" s="291"/>
      <c r="AA176" s="292"/>
      <c r="AB176" s="291"/>
      <c r="AC176" s="292"/>
      <c r="AD176" s="291"/>
      <c r="AE176" s="292"/>
      <c r="AF176" s="291"/>
      <c r="AG176" s="292"/>
      <c r="AH176" s="291"/>
      <c r="AI176" s="292"/>
      <c r="AJ176" s="291"/>
      <c r="AK176" s="292"/>
      <c r="AL176" s="291"/>
      <c r="AM176" s="292"/>
      <c r="AN176" s="291"/>
      <c r="AO176" s="292"/>
      <c r="AP176" s="291"/>
      <c r="AQ176" s="292"/>
      <c r="AR176" s="291"/>
      <c r="AS176" s="292"/>
      <c r="AT176" s="291"/>
      <c r="AU176" s="291"/>
      <c r="AV176" s="292"/>
      <c r="AW176" s="291"/>
      <c r="AX176" s="292"/>
      <c r="AY176" s="291"/>
      <c r="AZ176" s="292"/>
      <c r="BA176" s="291"/>
      <c r="BB176" s="292"/>
      <c r="BC176" s="291"/>
      <c r="BD176" s="292"/>
      <c r="BE176" s="291"/>
      <c r="BF176" s="292"/>
      <c r="BG176" s="291"/>
      <c r="BH176" s="292"/>
      <c r="BI176" s="291"/>
      <c r="BJ176" s="292"/>
      <c r="BK176" s="291"/>
      <c r="BL176" s="299"/>
      <c r="BM176" s="299"/>
      <c r="BN176" s="300"/>
    </row>
    <row r="177" spans="1:66" s="301" customFormat="1" ht="18" x14ac:dyDescent="0.25">
      <c r="A177" s="268" t="s">
        <v>690</v>
      </c>
      <c r="B177" s="317" t="s">
        <v>691</v>
      </c>
      <c r="C177" s="291"/>
      <c r="D177" s="289">
        <v>0</v>
      </c>
      <c r="E177" s="290"/>
      <c r="F177" s="289">
        <v>0</v>
      </c>
      <c r="G177" s="290"/>
      <c r="H177" s="289">
        <v>0</v>
      </c>
      <c r="I177" s="290"/>
      <c r="J177" s="289">
        <v>0</v>
      </c>
      <c r="K177" s="290"/>
      <c r="L177" s="289"/>
      <c r="M177" s="290"/>
      <c r="N177" s="289">
        <v>0</v>
      </c>
      <c r="O177" s="290"/>
      <c r="P177" s="289">
        <v>0</v>
      </c>
      <c r="Q177" s="290"/>
      <c r="R177" s="289">
        <v>0</v>
      </c>
      <c r="S177" s="290"/>
      <c r="T177" s="289">
        <v>0</v>
      </c>
      <c r="U177" s="290"/>
      <c r="V177" s="289">
        <v>0</v>
      </c>
      <c r="W177" s="290"/>
      <c r="X177" s="289">
        <v>0</v>
      </c>
      <c r="Y177" s="290"/>
      <c r="Z177" s="290"/>
      <c r="AA177" s="289">
        <v>0</v>
      </c>
      <c r="AB177" s="290"/>
      <c r="AC177" s="289">
        <v>0</v>
      </c>
      <c r="AD177" s="290"/>
      <c r="AE177" s="289">
        <v>0</v>
      </c>
      <c r="AF177" s="290"/>
      <c r="AG177" s="289">
        <v>0</v>
      </c>
      <c r="AH177" s="290"/>
      <c r="AI177" s="289">
        <v>0</v>
      </c>
      <c r="AJ177" s="290"/>
      <c r="AK177" s="289">
        <v>0</v>
      </c>
      <c r="AL177" s="290"/>
      <c r="AM177" s="289">
        <v>0</v>
      </c>
      <c r="AN177" s="290"/>
      <c r="AO177" s="289">
        <v>0</v>
      </c>
      <c r="AP177" s="290"/>
      <c r="AQ177" s="289">
        <v>0</v>
      </c>
      <c r="AR177" s="290"/>
      <c r="AS177" s="289">
        <v>0</v>
      </c>
      <c r="AT177" s="290"/>
      <c r="AU177" s="290"/>
      <c r="AV177" s="289">
        <v>0</v>
      </c>
      <c r="AW177" s="290"/>
      <c r="AX177" s="289">
        <v>0</v>
      </c>
      <c r="AY177" s="290"/>
      <c r="AZ177" s="289">
        <v>0</v>
      </c>
      <c r="BA177" s="290"/>
      <c r="BB177" s="289">
        <v>0</v>
      </c>
      <c r="BC177" s="290"/>
      <c r="BD177" s="289">
        <v>0</v>
      </c>
      <c r="BE177" s="290"/>
      <c r="BF177" s="289">
        <v>0</v>
      </c>
      <c r="BG177" s="290"/>
      <c r="BH177" s="289">
        <v>0</v>
      </c>
      <c r="BI177" s="291"/>
      <c r="BJ177" s="292">
        <f t="shared" ref="BJ177:BJ182" si="13">D177+F177+H177+J177+X177+N177+P177+R177+T177+V177+AA177+AC177+AG177+AI177+AK177+AM177+AO177+AQ177+AS177+AV177+AX177+AZ177+BB177+BD177+BH177+BF177+AE177</f>
        <v>0</v>
      </c>
      <c r="BK177" s="291"/>
      <c r="BL177" s="299"/>
      <c r="BM177" s="299"/>
      <c r="BN177" s="300"/>
    </row>
    <row r="178" spans="1:66" s="301" customFormat="1" ht="18" x14ac:dyDescent="0.25">
      <c r="A178" s="268" t="s">
        <v>692</v>
      </c>
      <c r="B178" s="317" t="s">
        <v>693</v>
      </c>
      <c r="C178" s="291"/>
      <c r="D178" s="289">
        <v>0</v>
      </c>
      <c r="E178" s="290"/>
      <c r="F178" s="289">
        <v>0</v>
      </c>
      <c r="G178" s="290"/>
      <c r="H178" s="289">
        <v>0</v>
      </c>
      <c r="I178" s="290"/>
      <c r="J178" s="289">
        <v>0</v>
      </c>
      <c r="K178" s="290"/>
      <c r="L178" s="289"/>
      <c r="M178" s="290"/>
      <c r="N178" s="289">
        <v>0</v>
      </c>
      <c r="O178" s="290"/>
      <c r="P178" s="289">
        <v>0</v>
      </c>
      <c r="Q178" s="290"/>
      <c r="R178" s="289">
        <v>0</v>
      </c>
      <c r="S178" s="290"/>
      <c r="T178" s="289">
        <v>0</v>
      </c>
      <c r="U178" s="290"/>
      <c r="V178" s="289">
        <v>0</v>
      </c>
      <c r="W178" s="290"/>
      <c r="X178" s="289">
        <v>0</v>
      </c>
      <c r="Y178" s="290"/>
      <c r="Z178" s="290"/>
      <c r="AA178" s="289">
        <v>0</v>
      </c>
      <c r="AB178" s="290"/>
      <c r="AC178" s="289">
        <v>0</v>
      </c>
      <c r="AD178" s="290"/>
      <c r="AE178" s="289">
        <v>0</v>
      </c>
      <c r="AF178" s="290"/>
      <c r="AG178" s="289">
        <v>0</v>
      </c>
      <c r="AH178" s="290"/>
      <c r="AI178" s="289">
        <v>0</v>
      </c>
      <c r="AJ178" s="290"/>
      <c r="AK178" s="289">
        <v>0</v>
      </c>
      <c r="AL178" s="290"/>
      <c r="AM178" s="289">
        <v>0</v>
      </c>
      <c r="AN178" s="290"/>
      <c r="AO178" s="289">
        <v>0</v>
      </c>
      <c r="AP178" s="290"/>
      <c r="AQ178" s="289">
        <v>0</v>
      </c>
      <c r="AR178" s="290"/>
      <c r="AS178" s="289">
        <v>0</v>
      </c>
      <c r="AT178" s="290"/>
      <c r="AU178" s="290"/>
      <c r="AV178" s="289">
        <v>0</v>
      </c>
      <c r="AW178" s="290"/>
      <c r="AX178" s="289">
        <v>0</v>
      </c>
      <c r="AY178" s="290"/>
      <c r="AZ178" s="289">
        <v>0</v>
      </c>
      <c r="BA178" s="290"/>
      <c r="BB178" s="289">
        <v>0</v>
      </c>
      <c r="BC178" s="290"/>
      <c r="BD178" s="289">
        <v>0</v>
      </c>
      <c r="BE178" s="290"/>
      <c r="BF178" s="289">
        <v>0</v>
      </c>
      <c r="BG178" s="290"/>
      <c r="BH178" s="289">
        <v>0</v>
      </c>
      <c r="BI178" s="291"/>
      <c r="BJ178" s="292">
        <f t="shared" si="13"/>
        <v>0</v>
      </c>
      <c r="BK178" s="291"/>
      <c r="BL178" s="299"/>
      <c r="BM178" s="299"/>
      <c r="BN178" s="300"/>
    </row>
    <row r="179" spans="1:66" s="301" customFormat="1" ht="36" x14ac:dyDescent="0.25">
      <c r="A179" s="268" t="s">
        <v>694</v>
      </c>
      <c r="B179" s="317" t="s">
        <v>720</v>
      </c>
      <c r="C179" s="291"/>
      <c r="D179" s="302">
        <v>0</v>
      </c>
      <c r="E179" s="290"/>
      <c r="F179" s="302">
        <v>0</v>
      </c>
      <c r="G179" s="290"/>
      <c r="H179" s="302">
        <v>0</v>
      </c>
      <c r="I179" s="290"/>
      <c r="J179" s="302">
        <v>0</v>
      </c>
      <c r="K179" s="290"/>
      <c r="L179" s="289"/>
      <c r="M179" s="290"/>
      <c r="N179" s="302">
        <v>0</v>
      </c>
      <c r="O179" s="290"/>
      <c r="P179" s="302">
        <v>0</v>
      </c>
      <c r="Q179" s="290"/>
      <c r="R179" s="302">
        <v>0</v>
      </c>
      <c r="S179" s="290"/>
      <c r="T179" s="302">
        <v>0</v>
      </c>
      <c r="U179" s="290"/>
      <c r="V179" s="302">
        <v>0</v>
      </c>
      <c r="W179" s="290"/>
      <c r="X179" s="302">
        <v>0</v>
      </c>
      <c r="Y179" s="290"/>
      <c r="Z179" s="290"/>
      <c r="AA179" s="302">
        <v>0</v>
      </c>
      <c r="AB179" s="290"/>
      <c r="AC179" s="302">
        <v>0</v>
      </c>
      <c r="AD179" s="290"/>
      <c r="AE179" s="302">
        <v>0</v>
      </c>
      <c r="AF179" s="290"/>
      <c r="AG179" s="302">
        <v>0</v>
      </c>
      <c r="AH179" s="290"/>
      <c r="AI179" s="302">
        <v>0</v>
      </c>
      <c r="AJ179" s="290"/>
      <c r="AK179" s="302">
        <v>0</v>
      </c>
      <c r="AL179" s="290"/>
      <c r="AM179" s="302">
        <v>0</v>
      </c>
      <c r="AN179" s="290"/>
      <c r="AO179" s="302">
        <v>0</v>
      </c>
      <c r="AP179" s="290"/>
      <c r="AQ179" s="302">
        <v>0</v>
      </c>
      <c r="AR179" s="290"/>
      <c r="AS179" s="302">
        <v>0</v>
      </c>
      <c r="AT179" s="290"/>
      <c r="AU179" s="290"/>
      <c r="AV179" s="302">
        <v>0</v>
      </c>
      <c r="AW179" s="290"/>
      <c r="AX179" s="302">
        <v>0</v>
      </c>
      <c r="AY179" s="290"/>
      <c r="AZ179" s="302">
        <v>0</v>
      </c>
      <c r="BA179" s="290"/>
      <c r="BB179" s="302">
        <v>0</v>
      </c>
      <c r="BC179" s="290"/>
      <c r="BD179" s="302">
        <v>0</v>
      </c>
      <c r="BE179" s="290"/>
      <c r="BF179" s="302">
        <v>0</v>
      </c>
      <c r="BG179" s="290"/>
      <c r="BH179" s="302">
        <v>0</v>
      </c>
      <c r="BI179" s="291"/>
      <c r="BJ179" s="292">
        <f t="shared" si="13"/>
        <v>0</v>
      </c>
      <c r="BK179" s="291"/>
      <c r="BL179" s="299"/>
      <c r="BM179" s="299"/>
      <c r="BN179" s="300"/>
    </row>
    <row r="180" spans="1:66" s="301" customFormat="1" ht="18" x14ac:dyDescent="0.25">
      <c r="A180" s="268" t="s">
        <v>697</v>
      </c>
      <c r="B180" s="317" t="s">
        <v>624</v>
      </c>
      <c r="C180" s="291"/>
      <c r="D180" s="302">
        <v>0</v>
      </c>
      <c r="E180" s="290"/>
      <c r="F180" s="302">
        <v>0</v>
      </c>
      <c r="G180" s="290"/>
      <c r="H180" s="302">
        <v>0</v>
      </c>
      <c r="I180" s="290"/>
      <c r="J180" s="302">
        <v>0</v>
      </c>
      <c r="K180" s="290"/>
      <c r="L180" s="289"/>
      <c r="M180" s="290"/>
      <c r="N180" s="302">
        <v>0</v>
      </c>
      <c r="O180" s="290"/>
      <c r="P180" s="302">
        <v>0</v>
      </c>
      <c r="Q180" s="290"/>
      <c r="R180" s="302">
        <v>0</v>
      </c>
      <c r="S180" s="290"/>
      <c r="T180" s="302">
        <v>0</v>
      </c>
      <c r="U180" s="290"/>
      <c r="V180" s="302">
        <v>0</v>
      </c>
      <c r="W180" s="290"/>
      <c r="X180" s="302">
        <v>0</v>
      </c>
      <c r="Y180" s="290"/>
      <c r="Z180" s="290"/>
      <c r="AA180" s="302">
        <v>0</v>
      </c>
      <c r="AB180" s="290"/>
      <c r="AC180" s="302">
        <v>0</v>
      </c>
      <c r="AD180" s="290"/>
      <c r="AE180" s="302">
        <v>0</v>
      </c>
      <c r="AF180" s="290"/>
      <c r="AG180" s="302">
        <v>0</v>
      </c>
      <c r="AH180" s="290"/>
      <c r="AI180" s="302">
        <v>0</v>
      </c>
      <c r="AJ180" s="290"/>
      <c r="AK180" s="302">
        <v>0</v>
      </c>
      <c r="AL180" s="290"/>
      <c r="AM180" s="302">
        <v>0</v>
      </c>
      <c r="AN180" s="290"/>
      <c r="AO180" s="302">
        <v>0</v>
      </c>
      <c r="AP180" s="290"/>
      <c r="AQ180" s="302">
        <v>0</v>
      </c>
      <c r="AR180" s="290"/>
      <c r="AS180" s="302">
        <v>0</v>
      </c>
      <c r="AT180" s="290"/>
      <c r="AU180" s="290"/>
      <c r="AV180" s="302">
        <v>0</v>
      </c>
      <c r="AW180" s="290"/>
      <c r="AX180" s="302">
        <v>0</v>
      </c>
      <c r="AY180" s="290"/>
      <c r="AZ180" s="302">
        <v>0</v>
      </c>
      <c r="BA180" s="290"/>
      <c r="BB180" s="302">
        <v>0</v>
      </c>
      <c r="BC180" s="290"/>
      <c r="BD180" s="302">
        <v>0</v>
      </c>
      <c r="BE180" s="290"/>
      <c r="BF180" s="302">
        <v>0</v>
      </c>
      <c r="BG180" s="290"/>
      <c r="BH180" s="302">
        <v>0</v>
      </c>
      <c r="BI180" s="291"/>
      <c r="BJ180" s="292">
        <f t="shared" si="13"/>
        <v>0</v>
      </c>
      <c r="BK180" s="291"/>
      <c r="BL180" s="299"/>
      <c r="BM180" s="299"/>
      <c r="BN180" s="300"/>
    </row>
    <row r="181" spans="1:66" s="301" customFormat="1" ht="18" x14ac:dyDescent="0.25">
      <c r="A181" s="268" t="s">
        <v>710</v>
      </c>
      <c r="B181" s="317" t="s">
        <v>492</v>
      </c>
      <c r="C181" s="291"/>
      <c r="D181" s="302">
        <v>0</v>
      </c>
      <c r="E181" s="290"/>
      <c r="F181" s="302">
        <v>0</v>
      </c>
      <c r="G181" s="290"/>
      <c r="H181" s="302">
        <v>0</v>
      </c>
      <c r="I181" s="290"/>
      <c r="J181" s="302">
        <v>0</v>
      </c>
      <c r="K181" s="290"/>
      <c r="L181" s="289"/>
      <c r="M181" s="290"/>
      <c r="N181" s="302">
        <v>0</v>
      </c>
      <c r="O181" s="290"/>
      <c r="P181" s="302">
        <v>0</v>
      </c>
      <c r="Q181" s="290"/>
      <c r="R181" s="302">
        <v>0</v>
      </c>
      <c r="S181" s="290"/>
      <c r="T181" s="302">
        <v>0</v>
      </c>
      <c r="U181" s="290"/>
      <c r="V181" s="302">
        <v>0</v>
      </c>
      <c r="W181" s="290"/>
      <c r="X181" s="302">
        <v>0</v>
      </c>
      <c r="Y181" s="290"/>
      <c r="Z181" s="290"/>
      <c r="AA181" s="302">
        <v>0</v>
      </c>
      <c r="AB181" s="290"/>
      <c r="AC181" s="302">
        <v>0</v>
      </c>
      <c r="AD181" s="290"/>
      <c r="AE181" s="302">
        <v>0</v>
      </c>
      <c r="AF181" s="290"/>
      <c r="AG181" s="302">
        <v>0</v>
      </c>
      <c r="AH181" s="290"/>
      <c r="AI181" s="302">
        <v>0</v>
      </c>
      <c r="AJ181" s="290"/>
      <c r="AK181" s="302">
        <v>0</v>
      </c>
      <c r="AL181" s="290"/>
      <c r="AM181" s="302">
        <v>0</v>
      </c>
      <c r="AN181" s="290"/>
      <c r="AO181" s="302">
        <v>0</v>
      </c>
      <c r="AP181" s="290"/>
      <c r="AQ181" s="302">
        <v>0</v>
      </c>
      <c r="AR181" s="290"/>
      <c r="AS181" s="302">
        <v>0</v>
      </c>
      <c r="AT181" s="290"/>
      <c r="AU181" s="290"/>
      <c r="AV181" s="302">
        <v>0</v>
      </c>
      <c r="AW181" s="290"/>
      <c r="AX181" s="302">
        <v>0</v>
      </c>
      <c r="AY181" s="290"/>
      <c r="AZ181" s="302">
        <v>0</v>
      </c>
      <c r="BA181" s="290"/>
      <c r="BB181" s="302">
        <v>0</v>
      </c>
      <c r="BC181" s="290"/>
      <c r="BD181" s="302">
        <v>0</v>
      </c>
      <c r="BE181" s="290"/>
      <c r="BF181" s="302">
        <v>0</v>
      </c>
      <c r="BG181" s="290"/>
      <c r="BH181" s="302">
        <v>0</v>
      </c>
      <c r="BI181" s="291"/>
      <c r="BJ181" s="292">
        <f t="shared" si="13"/>
        <v>0</v>
      </c>
      <c r="BK181" s="291"/>
      <c r="BL181" s="299"/>
      <c r="BM181" s="299"/>
      <c r="BN181" s="300"/>
    </row>
    <row r="182" spans="1:66" s="301" customFormat="1" ht="18.75" thickBot="1" x14ac:dyDescent="0.3">
      <c r="A182" s="268" t="s">
        <v>699</v>
      </c>
      <c r="B182" s="317" t="s">
        <v>721</v>
      </c>
      <c r="C182" s="291"/>
      <c r="D182" s="302">
        <v>0</v>
      </c>
      <c r="E182" s="290"/>
      <c r="F182" s="302">
        <v>0</v>
      </c>
      <c r="G182" s="290"/>
      <c r="H182" s="302">
        <v>0</v>
      </c>
      <c r="I182" s="290"/>
      <c r="J182" s="302">
        <v>0</v>
      </c>
      <c r="K182" s="290"/>
      <c r="L182" s="289"/>
      <c r="M182" s="290"/>
      <c r="N182" s="302">
        <v>0</v>
      </c>
      <c r="O182" s="290"/>
      <c r="P182" s="302">
        <v>0</v>
      </c>
      <c r="Q182" s="290"/>
      <c r="R182" s="302">
        <v>0</v>
      </c>
      <c r="S182" s="290"/>
      <c r="T182" s="302">
        <v>0</v>
      </c>
      <c r="U182" s="290"/>
      <c r="V182" s="302">
        <v>0</v>
      </c>
      <c r="W182" s="290"/>
      <c r="X182" s="302">
        <v>0</v>
      </c>
      <c r="Y182" s="290"/>
      <c r="Z182" s="290"/>
      <c r="AA182" s="302">
        <v>0</v>
      </c>
      <c r="AB182" s="290"/>
      <c r="AC182" s="302">
        <v>0</v>
      </c>
      <c r="AD182" s="290"/>
      <c r="AE182" s="302">
        <v>0</v>
      </c>
      <c r="AF182" s="290"/>
      <c r="AG182" s="302">
        <v>0</v>
      </c>
      <c r="AH182" s="290"/>
      <c r="AI182" s="302">
        <v>0</v>
      </c>
      <c r="AJ182" s="290"/>
      <c r="AK182" s="302">
        <v>0</v>
      </c>
      <c r="AL182" s="290"/>
      <c r="AM182" s="302">
        <v>0</v>
      </c>
      <c r="AN182" s="290"/>
      <c r="AO182" s="302">
        <v>0</v>
      </c>
      <c r="AP182" s="290"/>
      <c r="AQ182" s="302">
        <v>0</v>
      </c>
      <c r="AR182" s="290"/>
      <c r="AS182" s="302">
        <v>0</v>
      </c>
      <c r="AT182" s="290"/>
      <c r="AU182" s="290"/>
      <c r="AV182" s="302">
        <v>0</v>
      </c>
      <c r="AW182" s="290"/>
      <c r="AX182" s="302">
        <v>0</v>
      </c>
      <c r="AY182" s="290"/>
      <c r="AZ182" s="302">
        <v>0</v>
      </c>
      <c r="BA182" s="290"/>
      <c r="BB182" s="302">
        <v>0</v>
      </c>
      <c r="BC182" s="290"/>
      <c r="BD182" s="302">
        <v>0</v>
      </c>
      <c r="BE182" s="290"/>
      <c r="BF182" s="302">
        <v>0</v>
      </c>
      <c r="BG182" s="290"/>
      <c r="BH182" s="302">
        <v>0</v>
      </c>
      <c r="BI182" s="291"/>
      <c r="BJ182" s="292">
        <f t="shared" si="13"/>
        <v>0</v>
      </c>
      <c r="BK182" s="291"/>
      <c r="BL182" s="299"/>
      <c r="BM182" s="299"/>
      <c r="BN182" s="300"/>
    </row>
    <row r="183" spans="1:66" s="301" customFormat="1" ht="18.75" thickBot="1" x14ac:dyDescent="0.3">
      <c r="A183" s="303" t="s">
        <v>729</v>
      </c>
      <c r="B183" s="312"/>
      <c r="C183" s="291"/>
      <c r="D183" s="306">
        <f>SUM(D177:D182)</f>
        <v>0</v>
      </c>
      <c r="E183" s="307"/>
      <c r="F183" s="306">
        <f>SUM(F177:F182)</f>
        <v>0</v>
      </c>
      <c r="G183" s="307"/>
      <c r="H183" s="306">
        <f>SUM(H177:H182)</f>
        <v>0</v>
      </c>
      <c r="I183" s="307"/>
      <c r="J183" s="306">
        <f>SUM(J177:J182)</f>
        <v>0</v>
      </c>
      <c r="K183" s="307"/>
      <c r="L183" s="306">
        <f>SUM(L177:L182)</f>
        <v>0</v>
      </c>
      <c r="M183" s="307"/>
      <c r="N183" s="306">
        <f>SUM(N177:N182)</f>
        <v>0</v>
      </c>
      <c r="O183" s="307"/>
      <c r="P183" s="306">
        <f>SUM(P177:P182)</f>
        <v>0</v>
      </c>
      <c r="Q183" s="307"/>
      <c r="R183" s="306">
        <f>SUM(R177:R182)</f>
        <v>0</v>
      </c>
      <c r="S183" s="307"/>
      <c r="T183" s="306">
        <f>SUM(T177:T182)</f>
        <v>0</v>
      </c>
      <c r="U183" s="307"/>
      <c r="V183" s="306">
        <f>SUM(V177:V182)</f>
        <v>0</v>
      </c>
      <c r="W183" s="307"/>
      <c r="X183" s="306">
        <f>SUM(X177:X182)</f>
        <v>0</v>
      </c>
      <c r="Y183" s="307"/>
      <c r="Z183" s="307"/>
      <c r="AA183" s="306">
        <f>SUM(AA177:AA182)</f>
        <v>0</v>
      </c>
      <c r="AB183" s="307"/>
      <c r="AC183" s="306">
        <f>SUM(AC177:AC182)</f>
        <v>0</v>
      </c>
      <c r="AD183" s="307"/>
      <c r="AE183" s="306">
        <f>SUM(AE177:AE182)</f>
        <v>0</v>
      </c>
      <c r="AF183" s="307"/>
      <c r="AG183" s="306">
        <f>SUM(AG177:AG182)</f>
        <v>0</v>
      </c>
      <c r="AH183" s="307"/>
      <c r="AI183" s="306">
        <f>SUM(AI177:AI182)</f>
        <v>0</v>
      </c>
      <c r="AJ183" s="307"/>
      <c r="AK183" s="306">
        <f>SUM(AK177:AK182)</f>
        <v>0</v>
      </c>
      <c r="AL183" s="307"/>
      <c r="AM183" s="306">
        <f>SUM(AM177:AM182)</f>
        <v>0</v>
      </c>
      <c r="AN183" s="307"/>
      <c r="AO183" s="306">
        <f>SUM(AO177:AO182)</f>
        <v>0</v>
      </c>
      <c r="AP183" s="307"/>
      <c r="AQ183" s="306">
        <f>SUM(AQ177:AQ182)</f>
        <v>0</v>
      </c>
      <c r="AR183" s="307"/>
      <c r="AS183" s="306">
        <f>SUM(AS177:AS182)</f>
        <v>0</v>
      </c>
      <c r="AT183" s="307"/>
      <c r="AU183" s="307"/>
      <c r="AV183" s="306">
        <f>SUM(AV177:AV182)</f>
        <v>0</v>
      </c>
      <c r="AW183" s="307"/>
      <c r="AX183" s="306">
        <f>SUM(AX177:AX182)</f>
        <v>0</v>
      </c>
      <c r="AY183" s="307"/>
      <c r="AZ183" s="306">
        <f>SUM(AZ177:AZ182)</f>
        <v>0</v>
      </c>
      <c r="BA183" s="307"/>
      <c r="BB183" s="306">
        <f>SUM(BB177:BB182)</f>
        <v>0</v>
      </c>
      <c r="BC183" s="307"/>
      <c r="BD183" s="306">
        <f>SUM(BD177:BD182)</f>
        <v>0</v>
      </c>
      <c r="BE183" s="307"/>
      <c r="BF183" s="306">
        <f>SUM(BF177:BF182)</f>
        <v>0</v>
      </c>
      <c r="BG183" s="307"/>
      <c r="BH183" s="306">
        <f>SUM(BH177:BH182)</f>
        <v>0</v>
      </c>
      <c r="BI183" s="307"/>
      <c r="BJ183" s="306">
        <f>D183+F183+H183+J183+X183+N183+P183+R183+T183+V183+AA183+AC183+AG183+AI183+AK183+AM183+AO183+AQ183+AS183+AV183+AX183+AZ183+BB183+BD183+BH183+BF183+AE183</f>
        <v>0</v>
      </c>
      <c r="BK183" s="291"/>
      <c r="BL183" s="299"/>
      <c r="BM183" s="299"/>
      <c r="BN183" s="300"/>
    </row>
    <row r="184" spans="1:66" s="301" customFormat="1" ht="18.75" thickBot="1" x14ac:dyDescent="0.3">
      <c r="A184" s="268"/>
      <c r="B184" s="294"/>
      <c r="C184" s="291"/>
      <c r="D184" s="292"/>
      <c r="E184" s="291"/>
      <c r="F184" s="292"/>
      <c r="G184" s="291"/>
      <c r="H184" s="292"/>
      <c r="I184" s="291"/>
      <c r="J184" s="292"/>
      <c r="K184" s="291"/>
      <c r="L184" s="309"/>
      <c r="M184" s="291"/>
      <c r="N184" s="292"/>
      <c r="O184" s="291"/>
      <c r="P184" s="292"/>
      <c r="Q184" s="291"/>
      <c r="R184" s="292"/>
      <c r="S184" s="291"/>
      <c r="T184" s="292"/>
      <c r="U184" s="291"/>
      <c r="V184" s="292"/>
      <c r="W184" s="291"/>
      <c r="X184" s="292"/>
      <c r="Y184" s="291"/>
      <c r="Z184" s="291"/>
      <c r="AA184" s="292"/>
      <c r="AB184" s="291"/>
      <c r="AC184" s="292"/>
      <c r="AD184" s="291"/>
      <c r="AE184" s="292"/>
      <c r="AF184" s="291"/>
      <c r="AG184" s="292"/>
      <c r="AH184" s="291"/>
      <c r="AI184" s="292"/>
      <c r="AJ184" s="291"/>
      <c r="AK184" s="292"/>
      <c r="AL184" s="291"/>
      <c r="AM184" s="292"/>
      <c r="AN184" s="291"/>
      <c r="AO184" s="292"/>
      <c r="AP184" s="291"/>
      <c r="AQ184" s="292"/>
      <c r="AR184" s="291"/>
      <c r="AS184" s="292"/>
      <c r="AT184" s="291"/>
      <c r="AU184" s="291"/>
      <c r="AV184" s="292"/>
      <c r="AW184" s="291"/>
      <c r="AX184" s="292"/>
      <c r="AY184" s="291"/>
      <c r="AZ184" s="292"/>
      <c r="BA184" s="291"/>
      <c r="BB184" s="292"/>
      <c r="BC184" s="291"/>
      <c r="BD184" s="292"/>
      <c r="BE184" s="291"/>
      <c r="BF184" s="292"/>
      <c r="BG184" s="291"/>
      <c r="BH184" s="292"/>
      <c r="BI184" s="291"/>
      <c r="BJ184" s="292"/>
      <c r="BK184" s="291"/>
      <c r="BL184" s="299"/>
      <c r="BM184" s="299"/>
      <c r="BN184" s="300"/>
    </row>
    <row r="185" spans="1:66" s="301" customFormat="1" ht="18.75" thickBot="1" x14ac:dyDescent="0.3">
      <c r="A185" s="303" t="s">
        <v>730</v>
      </c>
      <c r="B185" s="312"/>
      <c r="C185" s="307"/>
      <c r="D185" s="306">
        <f>SUM(D174+D165+D157+D146+D137+D125+D113+D102+D90+D78+D66+D54+D183)</f>
        <v>1656193</v>
      </c>
      <c r="E185" s="307"/>
      <c r="F185" s="306">
        <f>SUM(F174+F165+F157+F146+F137+F125+F113+F102+F90+F78+F66+F54+F183)</f>
        <v>705496</v>
      </c>
      <c r="G185" s="307"/>
      <c r="H185" s="306">
        <f>SUM(H174+H165+H157+H146+H137+H125+H113+H102+H90+H78+H66+H54+H183)</f>
        <v>0</v>
      </c>
      <c r="I185" s="307"/>
      <c r="J185" s="306">
        <f>SUM(J174+J165+J157+J146+J137+J125+J113+J102+J90+J78+J66+J54+J183)</f>
        <v>32826</v>
      </c>
      <c r="K185" s="307"/>
      <c r="L185" s="306">
        <f>SUM(L174+L165+L157+L146+L137+L125+L113+L102+L90+L78+L66+L54+L183)</f>
        <v>0</v>
      </c>
      <c r="M185" s="307"/>
      <c r="N185" s="306">
        <f>SUM(N174+N165+N157+N146+N137+N125+N113+N102+N90+N78+N66+N54+N183)</f>
        <v>153198</v>
      </c>
      <c r="O185" s="307"/>
      <c r="P185" s="306">
        <f>SUM(P174+P165+P157+P146+P137+P125+P113+P102+P90+P78+P66+P54+P183)</f>
        <v>0</v>
      </c>
      <c r="Q185" s="307"/>
      <c r="R185" s="306">
        <f>SUM(R174+R165+R157+R146+R137+R125+R113+R102+R90+R78+R66+R54+R183)</f>
        <v>0</v>
      </c>
      <c r="S185" s="307"/>
      <c r="T185" s="306">
        <f>SUM(T174+T165+T157+T146+T137+T125+T113+T102+T90+T78+T66+T54+T183)</f>
        <v>0</v>
      </c>
      <c r="U185" s="307"/>
      <c r="V185" s="306">
        <f>SUM(V174+V165+V157+V146+V137+V125+V113+V102+V90+V78+V66+V54+V183)</f>
        <v>0</v>
      </c>
      <c r="W185" s="307"/>
      <c r="X185" s="306">
        <f>SUM(X174+X165+X157+X146+X137+X125+X113+X102+X90+X78+X66+X54+X183)</f>
        <v>0</v>
      </c>
      <c r="Y185" s="307"/>
      <c r="Z185" s="307"/>
      <c r="AA185" s="306">
        <f>SUM(AA174+AA165+AA157+AA146+AA137+AA125+AA113+AA102+AA90+AA78+AA66+AA54+AA183)</f>
        <v>0</v>
      </c>
      <c r="AB185" s="307"/>
      <c r="AC185" s="306">
        <f>SUM(AC174+AC165+AC157+AC146+AC137+AC125+AC113+AC102+AC90+AC78+AC66+AC54+AC183)</f>
        <v>0</v>
      </c>
      <c r="AD185" s="307"/>
      <c r="AE185" s="306">
        <f>SUM(AE174+AE165+AE157+AE146+AE137+AE125+AE113+AE102+AE90+AE78+AE66+AE54+AE183)</f>
        <v>0</v>
      </c>
      <c r="AF185" s="307"/>
      <c r="AG185" s="306">
        <f>SUM(AG174+AG165+AG157+AG146+AG137+AG125+AG113+AG102+AG90+AG78+AG66+AG54+AG183)</f>
        <v>0</v>
      </c>
      <c r="AH185" s="307"/>
      <c r="AI185" s="306">
        <f>SUM(AI174+AI165+AI157+AI146+AI137+AI125+AI113+AI102+AI90+AI78+AI66+AI54+AI183)</f>
        <v>0</v>
      </c>
      <c r="AJ185" s="307"/>
      <c r="AK185" s="306">
        <f>SUM(AK174+AK165+AK157+AK146+AK137+AK125+AK113+AK102+AK90+AK78+AK66+AK54+AK183)</f>
        <v>253465</v>
      </c>
      <c r="AL185" s="307"/>
      <c r="AM185" s="306">
        <f>SUM(AM174+AM165+AM157+AM146+AM137+AM125+AM113+AM102+AM90+AM78+AM66+AM54+AM183)</f>
        <v>0</v>
      </c>
      <c r="AN185" s="307"/>
      <c r="AO185" s="306">
        <f>SUM(AO174+AO165+AO157+AO146+AO137+AO125+AO113+AO102+AO90+AO78+AO66+AO54+AO183)</f>
        <v>0</v>
      </c>
      <c r="AP185" s="307"/>
      <c r="AQ185" s="306">
        <f>SUM(AQ174+AQ165+AQ157+AQ146+AQ137+AQ125+AQ113+AQ102+AQ90+AQ78+AQ66+AQ54+AQ183)</f>
        <v>0</v>
      </c>
      <c r="AR185" s="307"/>
      <c r="AS185" s="306">
        <f>SUM(AS174+AS165+AS157+AS146+AS137+AS125+AS113+AS102+AS90+AS78+AS66+AS54+AS183)</f>
        <v>0</v>
      </c>
      <c r="AT185" s="307"/>
      <c r="AU185" s="307"/>
      <c r="AV185" s="306">
        <f>SUM(AV174+AV165+AV157+AV146+AV137+AV125+AV113+AV102+AV90+AV78+AV66+AV54+AV183)</f>
        <v>0</v>
      </c>
      <c r="AW185" s="307"/>
      <c r="AX185" s="306">
        <f>SUM(AX174+AX165+AX157+AX146+AX137+AX125+AX113+AX102+AX90+AX78+AX66+AX54+AX183)</f>
        <v>0</v>
      </c>
      <c r="AY185" s="307"/>
      <c r="AZ185" s="306">
        <f>SUM(AZ174+AZ165+AZ157+AZ146+AZ137+AZ125+AZ113+AZ102+AZ90+AZ78+AZ66+AZ54+AZ183)</f>
        <v>0</v>
      </c>
      <c r="BA185" s="307"/>
      <c r="BB185" s="306">
        <f>SUM(BB174+BB165+BB157+BB146+BB137+BB125+BB113+BB102+BB90+BB78+BB66+BB54+BB183)</f>
        <v>0</v>
      </c>
      <c r="BC185" s="307"/>
      <c r="BD185" s="306">
        <f>SUM(BD174+BD165+BD157+BD146+BD137+BD125+BD113+BD102+BD90+BD78+BD66+BD54+BD183)</f>
        <v>0</v>
      </c>
      <c r="BE185" s="307"/>
      <c r="BF185" s="306">
        <f>SUM(BF174+BF165+BF157+BF146+BF137+BF125+BF113+BF102+BF90+BF78+BF66+BF54+BF183)</f>
        <v>0</v>
      </c>
      <c r="BG185" s="307"/>
      <c r="BH185" s="306">
        <f>SUM(BH174+BH165+BH157+BH146+BH137+BH125+BH113+BH102+BH90+BH78+BH66+BH54+BH183)</f>
        <v>0</v>
      </c>
      <c r="BI185" s="307"/>
      <c r="BJ185" s="306">
        <f>D185+F185+H185+J185+X185+N185+P185+R185+T185+V185+AA185+AC185+AG185+AI185+AK185+AM185+AO185+AQ185+AS185+AV185+AX185+AZ185+BB185+BD185+BH185+BF185+AE185</f>
        <v>2801178</v>
      </c>
      <c r="BK185" s="307"/>
      <c r="BL185" s="308"/>
      <c r="BM185" s="308"/>
      <c r="BN185" s="300"/>
    </row>
    <row r="186" spans="1:66" s="301" customFormat="1" ht="18" x14ac:dyDescent="0.25">
      <c r="A186" s="268"/>
      <c r="B186" s="294"/>
      <c r="C186" s="298"/>
      <c r="D186" s="292"/>
      <c r="E186" s="291"/>
      <c r="F186" s="292"/>
      <c r="G186" s="291"/>
      <c r="H186" s="292"/>
      <c r="I186" s="291"/>
      <c r="J186" s="292"/>
      <c r="K186" s="291"/>
      <c r="L186" s="309"/>
      <c r="M186" s="291"/>
      <c r="N186" s="292"/>
      <c r="O186" s="291"/>
      <c r="P186" s="292"/>
      <c r="Q186" s="291"/>
      <c r="R186" s="292"/>
      <c r="S186" s="291"/>
      <c r="T186" s="292"/>
      <c r="U186" s="291"/>
      <c r="V186" s="292"/>
      <c r="W186" s="291"/>
      <c r="X186" s="292"/>
      <c r="Y186" s="291"/>
      <c r="Z186" s="291"/>
      <c r="AA186" s="292"/>
      <c r="AB186" s="291"/>
      <c r="AC186" s="292"/>
      <c r="AD186" s="291"/>
      <c r="AE186" s="292"/>
      <c r="AF186" s="291"/>
      <c r="AG186" s="292"/>
      <c r="AH186" s="291"/>
      <c r="AI186" s="292"/>
      <c r="AJ186" s="291"/>
      <c r="AK186" s="292"/>
      <c r="AL186" s="291"/>
      <c r="AM186" s="292"/>
      <c r="AN186" s="291"/>
      <c r="AO186" s="292"/>
      <c r="AP186" s="291"/>
      <c r="AQ186" s="292"/>
      <c r="AR186" s="291"/>
      <c r="AS186" s="292"/>
      <c r="AT186" s="291"/>
      <c r="AU186" s="291"/>
      <c r="AV186" s="292"/>
      <c r="AW186" s="291"/>
      <c r="AX186" s="292"/>
      <c r="AY186" s="291"/>
      <c r="AZ186" s="292"/>
      <c r="BA186" s="291"/>
      <c r="BB186" s="292"/>
      <c r="BC186" s="291"/>
      <c r="BD186" s="292"/>
      <c r="BE186" s="291"/>
      <c r="BF186" s="292"/>
      <c r="BG186" s="291"/>
      <c r="BH186" s="292"/>
      <c r="BI186" s="291"/>
      <c r="BJ186" s="300"/>
      <c r="BK186" s="298"/>
      <c r="BL186" s="299"/>
      <c r="BM186" s="299"/>
      <c r="BN186" s="300"/>
    </row>
    <row r="187" spans="1:66" s="301" customFormat="1" ht="18" x14ac:dyDescent="0.25">
      <c r="A187" s="268" t="s">
        <v>731</v>
      </c>
      <c r="B187" s="294"/>
      <c r="C187" s="298"/>
      <c r="D187" s="292"/>
      <c r="E187" s="291"/>
      <c r="F187" s="292"/>
      <c r="G187" s="291"/>
      <c r="H187" s="292"/>
      <c r="I187" s="291"/>
      <c r="J187" s="292"/>
      <c r="K187" s="291"/>
      <c r="L187" s="309"/>
      <c r="M187" s="291"/>
      <c r="N187" s="292"/>
      <c r="O187" s="291"/>
      <c r="P187" s="292"/>
      <c r="Q187" s="291"/>
      <c r="R187" s="292"/>
      <c r="S187" s="291"/>
      <c r="T187" s="292"/>
      <c r="U187" s="291"/>
      <c r="V187" s="292"/>
      <c r="W187" s="291"/>
      <c r="X187" s="292"/>
      <c r="Y187" s="291"/>
      <c r="Z187" s="291"/>
      <c r="AA187" s="292"/>
      <c r="AB187" s="291"/>
      <c r="AC187" s="292"/>
      <c r="AD187" s="291"/>
      <c r="AE187" s="292"/>
      <c r="AF187" s="291"/>
      <c r="AG187" s="292"/>
      <c r="AH187" s="291"/>
      <c r="AI187" s="292"/>
      <c r="AJ187" s="291"/>
      <c r="AK187" s="292"/>
      <c r="AL187" s="291"/>
      <c r="AM187" s="292"/>
      <c r="AN187" s="291"/>
      <c r="AO187" s="292"/>
      <c r="AP187" s="291"/>
      <c r="AQ187" s="292"/>
      <c r="AR187" s="291"/>
      <c r="AS187" s="292"/>
      <c r="AT187" s="291"/>
      <c r="AU187" s="291"/>
      <c r="AV187" s="292"/>
      <c r="AW187" s="291"/>
      <c r="AX187" s="292"/>
      <c r="AY187" s="291"/>
      <c r="AZ187" s="292"/>
      <c r="BA187" s="291"/>
      <c r="BB187" s="292"/>
      <c r="BC187" s="291"/>
      <c r="BD187" s="292"/>
      <c r="BE187" s="291"/>
      <c r="BF187" s="292"/>
      <c r="BG187" s="291"/>
      <c r="BH187" s="292"/>
      <c r="BI187" s="291"/>
      <c r="BJ187" s="300"/>
      <c r="BK187" s="298"/>
      <c r="BL187" s="299"/>
      <c r="BM187" s="299"/>
      <c r="BN187" s="300"/>
    </row>
    <row r="188" spans="1:66" s="301" customFormat="1" ht="18" x14ac:dyDescent="0.25">
      <c r="A188" s="268" t="s">
        <v>690</v>
      </c>
      <c r="B188" s="317" t="s">
        <v>691</v>
      </c>
      <c r="C188" s="298"/>
      <c r="D188" s="289">
        <v>0</v>
      </c>
      <c r="E188" s="290"/>
      <c r="F188" s="289">
        <v>0</v>
      </c>
      <c r="G188" s="290"/>
      <c r="H188" s="289">
        <v>0</v>
      </c>
      <c r="I188" s="290"/>
      <c r="J188" s="289">
        <v>0</v>
      </c>
      <c r="K188" s="290"/>
      <c r="L188" s="289"/>
      <c r="M188" s="290"/>
      <c r="N188" s="289">
        <v>0</v>
      </c>
      <c r="O188" s="290"/>
      <c r="P188" s="289">
        <v>0</v>
      </c>
      <c r="Q188" s="290"/>
      <c r="R188" s="289">
        <v>0</v>
      </c>
      <c r="S188" s="290"/>
      <c r="T188" s="289">
        <v>0</v>
      </c>
      <c r="U188" s="290"/>
      <c r="V188" s="289">
        <v>0</v>
      </c>
      <c r="W188" s="290"/>
      <c r="X188" s="289">
        <v>0</v>
      </c>
      <c r="Y188" s="290"/>
      <c r="Z188" s="290"/>
      <c r="AA188" s="289">
        <v>0</v>
      </c>
      <c r="AB188" s="290"/>
      <c r="AC188" s="289">
        <v>0</v>
      </c>
      <c r="AD188" s="290"/>
      <c r="AE188" s="289">
        <v>0</v>
      </c>
      <c r="AF188" s="290"/>
      <c r="AG188" s="289">
        <v>0</v>
      </c>
      <c r="AH188" s="290"/>
      <c r="AI188" s="289">
        <v>0</v>
      </c>
      <c r="AJ188" s="290"/>
      <c r="AK188" s="289">
        <v>0</v>
      </c>
      <c r="AL188" s="290"/>
      <c r="AM188" s="289">
        <v>0</v>
      </c>
      <c r="AN188" s="290"/>
      <c r="AO188" s="289">
        <v>0</v>
      </c>
      <c r="AP188" s="290"/>
      <c r="AQ188" s="289">
        <v>0</v>
      </c>
      <c r="AR188" s="290"/>
      <c r="AS188" s="289">
        <v>0</v>
      </c>
      <c r="AT188" s="290"/>
      <c r="AU188" s="290"/>
      <c r="AV188" s="289">
        <v>0</v>
      </c>
      <c r="AW188" s="290"/>
      <c r="AX188" s="289">
        <v>0</v>
      </c>
      <c r="AY188" s="290"/>
      <c r="AZ188" s="289">
        <v>0</v>
      </c>
      <c r="BA188" s="290"/>
      <c r="BB188" s="289">
        <v>0</v>
      </c>
      <c r="BC188" s="290"/>
      <c r="BD188" s="289">
        <v>0</v>
      </c>
      <c r="BE188" s="290"/>
      <c r="BF188" s="289">
        <v>0</v>
      </c>
      <c r="BG188" s="290"/>
      <c r="BH188" s="289">
        <v>0</v>
      </c>
      <c r="BI188" s="291"/>
      <c r="BJ188" s="292">
        <f t="shared" ref="BJ188:BJ195" si="14">D188+F188+H188+J188+X188+N188+P188+R188+T188+V188+AA188+AC188+AG188+AI188+AK188+AM188+AO188+AQ188+AS188+AV188+AX188+AZ188+BB188+BD188+BH188+BF188+AE188</f>
        <v>0</v>
      </c>
      <c r="BK188" s="298"/>
      <c r="BL188" s="299"/>
      <c r="BM188" s="299"/>
      <c r="BN188" s="300"/>
    </row>
    <row r="189" spans="1:66" s="301" customFormat="1" ht="18" x14ac:dyDescent="0.25">
      <c r="A189" s="268" t="s">
        <v>692</v>
      </c>
      <c r="B189" s="317" t="s">
        <v>693</v>
      </c>
      <c r="C189" s="298"/>
      <c r="D189" s="289">
        <v>0</v>
      </c>
      <c r="E189" s="290"/>
      <c r="F189" s="289">
        <v>0</v>
      </c>
      <c r="G189" s="290"/>
      <c r="H189" s="289">
        <v>0</v>
      </c>
      <c r="I189" s="290"/>
      <c r="J189" s="289">
        <v>0</v>
      </c>
      <c r="K189" s="290"/>
      <c r="L189" s="289"/>
      <c r="M189" s="290"/>
      <c r="N189" s="289">
        <v>0</v>
      </c>
      <c r="O189" s="290"/>
      <c r="P189" s="289">
        <v>0</v>
      </c>
      <c r="Q189" s="290"/>
      <c r="R189" s="289">
        <v>0</v>
      </c>
      <c r="S189" s="290"/>
      <c r="T189" s="289">
        <v>0</v>
      </c>
      <c r="U189" s="290"/>
      <c r="V189" s="289">
        <v>0</v>
      </c>
      <c r="W189" s="290"/>
      <c r="X189" s="289">
        <v>0</v>
      </c>
      <c r="Y189" s="290"/>
      <c r="Z189" s="290"/>
      <c r="AA189" s="289">
        <v>0</v>
      </c>
      <c r="AB189" s="290"/>
      <c r="AC189" s="289">
        <v>0</v>
      </c>
      <c r="AD189" s="290"/>
      <c r="AE189" s="289">
        <v>0</v>
      </c>
      <c r="AF189" s="290"/>
      <c r="AG189" s="289">
        <v>0</v>
      </c>
      <c r="AH189" s="290"/>
      <c r="AI189" s="289">
        <v>0</v>
      </c>
      <c r="AJ189" s="290"/>
      <c r="AK189" s="289">
        <v>0</v>
      </c>
      <c r="AL189" s="290"/>
      <c r="AM189" s="289">
        <v>0</v>
      </c>
      <c r="AN189" s="290"/>
      <c r="AO189" s="289">
        <v>0</v>
      </c>
      <c r="AP189" s="290"/>
      <c r="AQ189" s="289">
        <v>0</v>
      </c>
      <c r="AR189" s="290"/>
      <c r="AS189" s="289">
        <v>0</v>
      </c>
      <c r="AT189" s="290"/>
      <c r="AU189" s="290"/>
      <c r="AV189" s="289">
        <v>0</v>
      </c>
      <c r="AW189" s="290"/>
      <c r="AX189" s="289">
        <v>0</v>
      </c>
      <c r="AY189" s="290"/>
      <c r="AZ189" s="289">
        <v>0</v>
      </c>
      <c r="BA189" s="290"/>
      <c r="BB189" s="289">
        <v>0</v>
      </c>
      <c r="BC189" s="290"/>
      <c r="BD189" s="289">
        <v>0</v>
      </c>
      <c r="BE189" s="290"/>
      <c r="BF189" s="289">
        <v>0</v>
      </c>
      <c r="BG189" s="290"/>
      <c r="BH189" s="289">
        <v>0</v>
      </c>
      <c r="BI189" s="291"/>
      <c r="BJ189" s="292">
        <f t="shared" si="14"/>
        <v>0</v>
      </c>
      <c r="BK189" s="298"/>
      <c r="BL189" s="299"/>
      <c r="BM189" s="299"/>
      <c r="BN189" s="300"/>
    </row>
    <row r="190" spans="1:66" s="301" customFormat="1" ht="18" x14ac:dyDescent="0.25">
      <c r="A190" s="268" t="s">
        <v>694</v>
      </c>
      <c r="B190" s="317" t="s">
        <v>482</v>
      </c>
      <c r="C190" s="298"/>
      <c r="D190" s="302">
        <v>0</v>
      </c>
      <c r="E190" s="290"/>
      <c r="F190" s="302">
        <v>0</v>
      </c>
      <c r="G190" s="290"/>
      <c r="H190" s="302">
        <v>0</v>
      </c>
      <c r="I190" s="290"/>
      <c r="J190" s="302">
        <v>0</v>
      </c>
      <c r="K190" s="290"/>
      <c r="L190" s="289"/>
      <c r="M190" s="290"/>
      <c r="N190" s="302">
        <v>0</v>
      </c>
      <c r="O190" s="290"/>
      <c r="P190" s="302">
        <v>0</v>
      </c>
      <c r="Q190" s="290"/>
      <c r="R190" s="302">
        <v>0</v>
      </c>
      <c r="S190" s="290"/>
      <c r="T190" s="302">
        <v>0</v>
      </c>
      <c r="U190" s="290"/>
      <c r="V190" s="302">
        <v>0</v>
      </c>
      <c r="W190" s="290"/>
      <c r="X190" s="302">
        <v>0</v>
      </c>
      <c r="Y190" s="290"/>
      <c r="Z190" s="290"/>
      <c r="AA190" s="302">
        <v>0</v>
      </c>
      <c r="AB190" s="290"/>
      <c r="AC190" s="302">
        <v>0</v>
      </c>
      <c r="AD190" s="290"/>
      <c r="AE190" s="302">
        <v>0</v>
      </c>
      <c r="AF190" s="290"/>
      <c r="AG190" s="302">
        <v>0</v>
      </c>
      <c r="AH190" s="290"/>
      <c r="AI190" s="302">
        <v>0</v>
      </c>
      <c r="AJ190" s="290"/>
      <c r="AK190" s="302">
        <v>0</v>
      </c>
      <c r="AL190" s="290"/>
      <c r="AM190" s="302">
        <v>0</v>
      </c>
      <c r="AN190" s="290"/>
      <c r="AO190" s="302">
        <v>0</v>
      </c>
      <c r="AP190" s="290"/>
      <c r="AQ190" s="302">
        <v>0</v>
      </c>
      <c r="AR190" s="290"/>
      <c r="AS190" s="302">
        <v>0</v>
      </c>
      <c r="AT190" s="290"/>
      <c r="AU190" s="290"/>
      <c r="AV190" s="302">
        <v>0</v>
      </c>
      <c r="AW190" s="290"/>
      <c r="AX190" s="302">
        <v>0</v>
      </c>
      <c r="AY190" s="290"/>
      <c r="AZ190" s="302">
        <v>0</v>
      </c>
      <c r="BA190" s="290"/>
      <c r="BB190" s="302">
        <v>0</v>
      </c>
      <c r="BC190" s="290"/>
      <c r="BD190" s="302">
        <v>0</v>
      </c>
      <c r="BE190" s="290"/>
      <c r="BF190" s="302">
        <v>0</v>
      </c>
      <c r="BG190" s="290"/>
      <c r="BH190" s="302">
        <v>0</v>
      </c>
      <c r="BI190" s="291"/>
      <c r="BJ190" s="292">
        <f t="shared" si="14"/>
        <v>0</v>
      </c>
      <c r="BK190" s="298"/>
      <c r="BL190" s="299"/>
      <c r="BM190" s="299"/>
      <c r="BN190" s="300"/>
    </row>
    <row r="191" spans="1:66" s="301" customFormat="1" ht="18" x14ac:dyDescent="0.25">
      <c r="A191" s="268" t="s">
        <v>749</v>
      </c>
      <c r="B191" s="317" t="s">
        <v>695</v>
      </c>
      <c r="C191" s="298"/>
      <c r="D191" s="302">
        <v>0</v>
      </c>
      <c r="E191" s="290"/>
      <c r="F191" s="302">
        <f>'CCS Budget - Detailed'!H329</f>
        <v>30840</v>
      </c>
      <c r="G191" s="290"/>
      <c r="H191" s="302"/>
      <c r="I191" s="290"/>
      <c r="J191" s="302">
        <v>0</v>
      </c>
      <c r="K191" s="290"/>
      <c r="L191" s="289"/>
      <c r="M191" s="290"/>
      <c r="N191" s="302">
        <v>0</v>
      </c>
      <c r="O191" s="290"/>
      <c r="P191" s="302"/>
      <c r="Q191" s="290"/>
      <c r="R191" s="302">
        <v>0</v>
      </c>
      <c r="S191" s="290"/>
      <c r="T191" s="302"/>
      <c r="U191" s="290"/>
      <c r="V191" s="302"/>
      <c r="W191" s="290"/>
      <c r="X191" s="302"/>
      <c r="Y191" s="290"/>
      <c r="Z191" s="290"/>
      <c r="AA191" s="302"/>
      <c r="AB191" s="290"/>
      <c r="AC191" s="302">
        <v>0</v>
      </c>
      <c r="AD191" s="290"/>
      <c r="AE191" s="302"/>
      <c r="AF191" s="290"/>
      <c r="AG191" s="302">
        <v>0</v>
      </c>
      <c r="AH191" s="290"/>
      <c r="AI191" s="302"/>
      <c r="AJ191" s="290"/>
      <c r="AK191" s="302">
        <v>0</v>
      </c>
      <c r="AL191" s="290"/>
      <c r="AM191" s="302"/>
      <c r="AN191" s="290"/>
      <c r="AO191" s="302"/>
      <c r="AP191" s="290"/>
      <c r="AQ191" s="302"/>
      <c r="AR191" s="290"/>
      <c r="AS191" s="302"/>
      <c r="AT191" s="290"/>
      <c r="AU191" s="290"/>
      <c r="AV191" s="302"/>
      <c r="AW191" s="290"/>
      <c r="AX191" s="302"/>
      <c r="AY191" s="290"/>
      <c r="AZ191" s="302"/>
      <c r="BA191" s="290"/>
      <c r="BB191" s="302"/>
      <c r="BC191" s="290"/>
      <c r="BD191" s="302">
        <v>0</v>
      </c>
      <c r="BE191" s="290"/>
      <c r="BF191" s="302"/>
      <c r="BG191" s="290"/>
      <c r="BH191" s="302"/>
      <c r="BI191" s="291"/>
      <c r="BJ191" s="292">
        <f t="shared" si="14"/>
        <v>30840</v>
      </c>
      <c r="BK191" s="298"/>
      <c r="BL191" s="299"/>
      <c r="BM191" s="299"/>
      <c r="BN191" s="300"/>
    </row>
    <row r="192" spans="1:66" s="301" customFormat="1" ht="18" x14ac:dyDescent="0.25">
      <c r="A192" s="268" t="s">
        <v>750</v>
      </c>
      <c r="B192" s="317" t="s">
        <v>696</v>
      </c>
      <c r="C192" s="298"/>
      <c r="D192" s="302">
        <v>0</v>
      </c>
      <c r="E192" s="290"/>
      <c r="F192" s="302">
        <f>SUM('CCS Budget - Detailed'!H330)</f>
        <v>0</v>
      </c>
      <c r="G192" s="290"/>
      <c r="H192" s="302"/>
      <c r="I192" s="290"/>
      <c r="J192" s="302">
        <v>0</v>
      </c>
      <c r="K192" s="290"/>
      <c r="L192" s="289"/>
      <c r="M192" s="290"/>
      <c r="N192" s="302">
        <v>0</v>
      </c>
      <c r="O192" s="290"/>
      <c r="P192" s="302"/>
      <c r="Q192" s="290"/>
      <c r="R192" s="302">
        <v>0</v>
      </c>
      <c r="S192" s="290"/>
      <c r="T192" s="302"/>
      <c r="U192" s="290"/>
      <c r="V192" s="302"/>
      <c r="W192" s="290"/>
      <c r="X192" s="302"/>
      <c r="Y192" s="290"/>
      <c r="Z192" s="290"/>
      <c r="AA192" s="302"/>
      <c r="AB192" s="290"/>
      <c r="AC192" s="302">
        <v>0</v>
      </c>
      <c r="AD192" s="290"/>
      <c r="AE192" s="302"/>
      <c r="AF192" s="290"/>
      <c r="AG192" s="302">
        <v>0</v>
      </c>
      <c r="AH192" s="290"/>
      <c r="AI192" s="302"/>
      <c r="AJ192" s="290"/>
      <c r="AK192" s="302">
        <v>0</v>
      </c>
      <c r="AL192" s="290"/>
      <c r="AM192" s="302"/>
      <c r="AN192" s="290"/>
      <c r="AO192" s="302"/>
      <c r="AP192" s="290"/>
      <c r="AQ192" s="302"/>
      <c r="AR192" s="290"/>
      <c r="AS192" s="302"/>
      <c r="AT192" s="290"/>
      <c r="AU192" s="290"/>
      <c r="AV192" s="302"/>
      <c r="AW192" s="290"/>
      <c r="AX192" s="302"/>
      <c r="AY192" s="290"/>
      <c r="AZ192" s="302"/>
      <c r="BA192" s="290"/>
      <c r="BB192" s="302"/>
      <c r="BC192" s="290"/>
      <c r="BD192" s="302">
        <v>0</v>
      </c>
      <c r="BE192" s="290"/>
      <c r="BF192" s="302"/>
      <c r="BG192" s="290"/>
      <c r="BH192" s="302"/>
      <c r="BI192" s="291"/>
      <c r="BJ192" s="292">
        <f t="shared" si="14"/>
        <v>0</v>
      </c>
      <c r="BK192" s="298"/>
      <c r="BL192" s="299"/>
      <c r="BM192" s="299"/>
      <c r="BN192" s="300"/>
    </row>
    <row r="193" spans="1:66" s="301" customFormat="1" ht="18" x14ac:dyDescent="0.25">
      <c r="A193" s="268" t="s">
        <v>697</v>
      </c>
      <c r="B193" s="317" t="s">
        <v>624</v>
      </c>
      <c r="C193" s="298"/>
      <c r="D193" s="302">
        <v>0</v>
      </c>
      <c r="E193" s="290"/>
      <c r="F193" s="302">
        <v>0</v>
      </c>
      <c r="G193" s="290"/>
      <c r="H193" s="302">
        <v>0</v>
      </c>
      <c r="I193" s="290"/>
      <c r="J193" s="302">
        <v>0</v>
      </c>
      <c r="K193" s="290"/>
      <c r="L193" s="289"/>
      <c r="M193" s="290"/>
      <c r="N193" s="302">
        <v>0</v>
      </c>
      <c r="O193" s="290"/>
      <c r="P193" s="302">
        <v>0</v>
      </c>
      <c r="Q193" s="290"/>
      <c r="R193" s="302">
        <v>0</v>
      </c>
      <c r="S193" s="290"/>
      <c r="T193" s="302">
        <v>0</v>
      </c>
      <c r="U193" s="290"/>
      <c r="V193" s="302">
        <v>0</v>
      </c>
      <c r="W193" s="290"/>
      <c r="X193" s="302">
        <v>0</v>
      </c>
      <c r="Y193" s="290"/>
      <c r="Z193" s="290"/>
      <c r="AA193" s="302">
        <v>0</v>
      </c>
      <c r="AB193" s="290"/>
      <c r="AC193" s="302">
        <v>0</v>
      </c>
      <c r="AD193" s="290"/>
      <c r="AE193" s="302">
        <v>0</v>
      </c>
      <c r="AF193" s="290"/>
      <c r="AG193" s="302">
        <v>0</v>
      </c>
      <c r="AH193" s="290"/>
      <c r="AI193" s="302">
        <v>0</v>
      </c>
      <c r="AJ193" s="290"/>
      <c r="AK193" s="302">
        <v>0</v>
      </c>
      <c r="AL193" s="290"/>
      <c r="AM193" s="302">
        <v>0</v>
      </c>
      <c r="AN193" s="290"/>
      <c r="AO193" s="302">
        <v>0</v>
      </c>
      <c r="AP193" s="290"/>
      <c r="AQ193" s="302">
        <v>0</v>
      </c>
      <c r="AR193" s="290"/>
      <c r="AS193" s="302">
        <v>0</v>
      </c>
      <c r="AT193" s="290"/>
      <c r="AU193" s="290"/>
      <c r="AV193" s="302">
        <v>0</v>
      </c>
      <c r="AW193" s="290"/>
      <c r="AX193" s="302">
        <v>0</v>
      </c>
      <c r="AY193" s="290"/>
      <c r="AZ193" s="302">
        <v>0</v>
      </c>
      <c r="BA193" s="290"/>
      <c r="BB193" s="302">
        <v>0</v>
      </c>
      <c r="BC193" s="290"/>
      <c r="BD193" s="302">
        <v>0</v>
      </c>
      <c r="BE193" s="290"/>
      <c r="BF193" s="302">
        <v>0</v>
      </c>
      <c r="BG193" s="290"/>
      <c r="BH193" s="302">
        <v>0</v>
      </c>
      <c r="BI193" s="291"/>
      <c r="BJ193" s="292">
        <f t="shared" si="14"/>
        <v>0</v>
      </c>
      <c r="BK193" s="298"/>
      <c r="BL193" s="299"/>
      <c r="BM193" s="299"/>
      <c r="BN193" s="300"/>
    </row>
    <row r="194" spans="1:66" s="301" customFormat="1" ht="18" x14ac:dyDescent="0.25">
      <c r="A194" s="268" t="s">
        <v>698</v>
      </c>
      <c r="B194" s="317" t="s">
        <v>492</v>
      </c>
      <c r="C194" s="298"/>
      <c r="D194" s="302">
        <v>0</v>
      </c>
      <c r="E194" s="290"/>
      <c r="F194" s="302">
        <v>0</v>
      </c>
      <c r="G194" s="290"/>
      <c r="H194" s="302">
        <v>0</v>
      </c>
      <c r="I194" s="290"/>
      <c r="J194" s="302">
        <f>'MCS Budget - Detailed'!N915</f>
        <v>2534</v>
      </c>
      <c r="K194" s="290"/>
      <c r="L194" s="289"/>
      <c r="M194" s="290"/>
      <c r="N194" s="302">
        <v>0</v>
      </c>
      <c r="O194" s="290"/>
      <c r="P194" s="302">
        <v>0</v>
      </c>
      <c r="Q194" s="290"/>
      <c r="R194" s="302">
        <v>0</v>
      </c>
      <c r="S194" s="290"/>
      <c r="T194" s="302">
        <v>0</v>
      </c>
      <c r="U194" s="290"/>
      <c r="V194" s="302">
        <v>0</v>
      </c>
      <c r="W194" s="290"/>
      <c r="X194" s="302">
        <v>0</v>
      </c>
      <c r="Y194" s="290"/>
      <c r="Z194" s="290"/>
      <c r="AA194" s="302">
        <v>0</v>
      </c>
      <c r="AB194" s="290"/>
      <c r="AC194" s="302">
        <v>0</v>
      </c>
      <c r="AD194" s="290"/>
      <c r="AE194" s="302">
        <v>0</v>
      </c>
      <c r="AF194" s="290"/>
      <c r="AG194" s="302">
        <v>0</v>
      </c>
      <c r="AH194" s="290"/>
      <c r="AI194" s="302">
        <v>0</v>
      </c>
      <c r="AJ194" s="290"/>
      <c r="AK194" s="302">
        <v>0</v>
      </c>
      <c r="AL194" s="290"/>
      <c r="AM194" s="302">
        <v>0</v>
      </c>
      <c r="AN194" s="290"/>
      <c r="AO194" s="302">
        <v>0</v>
      </c>
      <c r="AP194" s="290"/>
      <c r="AQ194" s="302">
        <v>0</v>
      </c>
      <c r="AR194" s="290"/>
      <c r="AS194" s="302">
        <v>0</v>
      </c>
      <c r="AT194" s="290"/>
      <c r="AU194" s="290"/>
      <c r="AV194" s="302">
        <v>0</v>
      </c>
      <c r="AW194" s="290"/>
      <c r="AX194" s="302">
        <v>0</v>
      </c>
      <c r="AY194" s="290"/>
      <c r="AZ194" s="302">
        <v>0</v>
      </c>
      <c r="BA194" s="290"/>
      <c r="BB194" s="302">
        <v>0</v>
      </c>
      <c r="BC194" s="290"/>
      <c r="BD194" s="302">
        <v>0</v>
      </c>
      <c r="BE194" s="290"/>
      <c r="BF194" s="302">
        <v>0</v>
      </c>
      <c r="BG194" s="290"/>
      <c r="BH194" s="302">
        <v>0</v>
      </c>
      <c r="BI194" s="291"/>
      <c r="BJ194" s="292">
        <f t="shared" si="14"/>
        <v>2534</v>
      </c>
      <c r="BK194" s="298"/>
      <c r="BL194" s="299"/>
      <c r="BM194" s="299"/>
      <c r="BN194" s="300"/>
    </row>
    <row r="195" spans="1:66" s="301" customFormat="1" ht="18.75" thickBot="1" x14ac:dyDescent="0.3">
      <c r="A195" s="268" t="s">
        <v>699</v>
      </c>
      <c r="B195" s="317" t="s">
        <v>721</v>
      </c>
      <c r="C195" s="291"/>
      <c r="D195" s="302">
        <v>0</v>
      </c>
      <c r="E195" s="290"/>
      <c r="F195" s="302">
        <v>0</v>
      </c>
      <c r="G195" s="290"/>
      <c r="H195" s="302">
        <v>0</v>
      </c>
      <c r="I195" s="290"/>
      <c r="J195" s="302">
        <v>0</v>
      </c>
      <c r="K195" s="290"/>
      <c r="L195" s="289"/>
      <c r="M195" s="290"/>
      <c r="N195" s="302">
        <v>0</v>
      </c>
      <c r="O195" s="290"/>
      <c r="P195" s="302">
        <v>0</v>
      </c>
      <c r="Q195" s="290"/>
      <c r="R195" s="302">
        <v>0</v>
      </c>
      <c r="S195" s="290"/>
      <c r="T195" s="302">
        <v>0</v>
      </c>
      <c r="U195" s="290"/>
      <c r="V195" s="302">
        <v>0</v>
      </c>
      <c r="W195" s="290"/>
      <c r="X195" s="302">
        <v>0</v>
      </c>
      <c r="Y195" s="290"/>
      <c r="Z195" s="290"/>
      <c r="AA195" s="302">
        <v>0</v>
      </c>
      <c r="AB195" s="290"/>
      <c r="AC195" s="302">
        <v>0</v>
      </c>
      <c r="AD195" s="290"/>
      <c r="AE195" s="302">
        <v>0</v>
      </c>
      <c r="AF195" s="290"/>
      <c r="AG195" s="302">
        <v>0</v>
      </c>
      <c r="AH195" s="290"/>
      <c r="AI195" s="302">
        <v>0</v>
      </c>
      <c r="AJ195" s="290"/>
      <c r="AK195" s="302">
        <v>0</v>
      </c>
      <c r="AL195" s="290"/>
      <c r="AM195" s="302">
        <v>0</v>
      </c>
      <c r="AN195" s="290"/>
      <c r="AO195" s="302">
        <v>0</v>
      </c>
      <c r="AP195" s="290"/>
      <c r="AQ195" s="302">
        <v>0</v>
      </c>
      <c r="AR195" s="290"/>
      <c r="AS195" s="302">
        <v>0</v>
      </c>
      <c r="AT195" s="290"/>
      <c r="AU195" s="290"/>
      <c r="AV195" s="302">
        <v>0</v>
      </c>
      <c r="AW195" s="290"/>
      <c r="AX195" s="302">
        <v>0</v>
      </c>
      <c r="AY195" s="290"/>
      <c r="AZ195" s="302">
        <v>0</v>
      </c>
      <c r="BA195" s="290"/>
      <c r="BB195" s="302">
        <v>0</v>
      </c>
      <c r="BC195" s="290"/>
      <c r="BD195" s="302">
        <v>0</v>
      </c>
      <c r="BE195" s="290"/>
      <c r="BF195" s="302">
        <v>0</v>
      </c>
      <c r="BG195" s="290"/>
      <c r="BH195" s="302">
        <v>0</v>
      </c>
      <c r="BI195" s="291"/>
      <c r="BJ195" s="292">
        <f t="shared" si="14"/>
        <v>0</v>
      </c>
      <c r="BK195" s="291"/>
      <c r="BL195" s="299"/>
      <c r="BM195" s="299"/>
      <c r="BN195" s="300"/>
    </row>
    <row r="196" spans="1:66" s="301" customFormat="1" ht="18.75" thickBot="1" x14ac:dyDescent="0.3">
      <c r="A196" s="303" t="s">
        <v>732</v>
      </c>
      <c r="B196" s="312"/>
      <c r="C196" s="307"/>
      <c r="D196" s="306">
        <f>SUM(D188:D195)</f>
        <v>0</v>
      </c>
      <c r="E196" s="307"/>
      <c r="F196" s="306">
        <f>SUM(F188:F195)</f>
        <v>30840</v>
      </c>
      <c r="G196" s="307"/>
      <c r="H196" s="306">
        <f>SUM(H188:H195)</f>
        <v>0</v>
      </c>
      <c r="I196" s="307"/>
      <c r="J196" s="306">
        <f>SUM(J188:J195)</f>
        <v>2534</v>
      </c>
      <c r="K196" s="307"/>
      <c r="L196" s="306">
        <f>SUM(L188:L195)</f>
        <v>0</v>
      </c>
      <c r="M196" s="307"/>
      <c r="N196" s="306">
        <f>SUM(N188:N195)</f>
        <v>0</v>
      </c>
      <c r="O196" s="307"/>
      <c r="P196" s="306">
        <f>SUM(P188:P195)</f>
        <v>0</v>
      </c>
      <c r="Q196" s="307"/>
      <c r="R196" s="306">
        <f>SUM(R188:R195)</f>
        <v>0</v>
      </c>
      <c r="S196" s="307"/>
      <c r="T196" s="306">
        <f>SUM(T188:T195)</f>
        <v>0</v>
      </c>
      <c r="U196" s="307"/>
      <c r="V196" s="306">
        <f>SUM(V188:V195)</f>
        <v>0</v>
      </c>
      <c r="W196" s="307"/>
      <c r="X196" s="306">
        <f>SUM(X188:X195)</f>
        <v>0</v>
      </c>
      <c r="Y196" s="307"/>
      <c r="Z196" s="307"/>
      <c r="AA196" s="306">
        <f>SUM(AA188:AA195)</f>
        <v>0</v>
      </c>
      <c r="AB196" s="307"/>
      <c r="AC196" s="306">
        <f>SUM(AC188:AC195)</f>
        <v>0</v>
      </c>
      <c r="AD196" s="307"/>
      <c r="AE196" s="306">
        <f>SUM(AE188:AE195)</f>
        <v>0</v>
      </c>
      <c r="AF196" s="307"/>
      <c r="AG196" s="306">
        <f>SUM(AG188:AG195)</f>
        <v>0</v>
      </c>
      <c r="AH196" s="307"/>
      <c r="AI196" s="306">
        <f>SUM(AI188:AI195)</f>
        <v>0</v>
      </c>
      <c r="AJ196" s="307"/>
      <c r="AK196" s="306">
        <f>SUM(AK188:AK195)</f>
        <v>0</v>
      </c>
      <c r="AL196" s="307"/>
      <c r="AM196" s="306">
        <f>SUM(AM188:AM195)</f>
        <v>0</v>
      </c>
      <c r="AN196" s="307"/>
      <c r="AO196" s="306">
        <f>SUM(AO188:AO195)</f>
        <v>0</v>
      </c>
      <c r="AP196" s="307"/>
      <c r="AQ196" s="306">
        <f>SUM(AQ188:AQ195)</f>
        <v>0</v>
      </c>
      <c r="AR196" s="307"/>
      <c r="AS196" s="306">
        <f>SUM(AS188:AS195)</f>
        <v>0</v>
      </c>
      <c r="AT196" s="307"/>
      <c r="AU196" s="307"/>
      <c r="AV196" s="306">
        <f>SUM(AV188:AV195)</f>
        <v>0</v>
      </c>
      <c r="AW196" s="307"/>
      <c r="AX196" s="306">
        <f>SUM(AX188:AX195)</f>
        <v>0</v>
      </c>
      <c r="AY196" s="307"/>
      <c r="AZ196" s="306">
        <f>SUM(AZ188:AZ195)</f>
        <v>0</v>
      </c>
      <c r="BA196" s="307"/>
      <c r="BB196" s="306">
        <f>SUM(BB188:BB195)</f>
        <v>0</v>
      </c>
      <c r="BC196" s="307"/>
      <c r="BD196" s="306">
        <f>SUM(BD188:BD195)</f>
        <v>0</v>
      </c>
      <c r="BE196" s="307"/>
      <c r="BF196" s="306">
        <f>SUM(BF188:BF195)</f>
        <v>0</v>
      </c>
      <c r="BG196" s="307"/>
      <c r="BH196" s="306">
        <f>SUM(BH188:BH195)</f>
        <v>0</v>
      </c>
      <c r="BI196" s="307"/>
      <c r="BJ196" s="306">
        <f>D196+F196+H196+J196+X196+N196+P196+R196+T196+V196+AA196+AC196+AG196+AI196+AK196+AM196+AO196+AQ196+AS196+AV196+AX196+AZ196+BB196+BD196+BH196+BF196+AE196</f>
        <v>33374</v>
      </c>
      <c r="BK196" s="307"/>
      <c r="BL196" s="308"/>
      <c r="BM196" s="308"/>
      <c r="BN196" s="300"/>
    </row>
    <row r="197" spans="1:66" s="301" customFormat="1" ht="18" x14ac:dyDescent="0.25">
      <c r="A197" s="268"/>
      <c r="B197" s="294"/>
      <c r="C197" s="298"/>
      <c r="D197" s="292"/>
      <c r="E197" s="291"/>
      <c r="F197" s="292"/>
      <c r="G197" s="291"/>
      <c r="H197" s="292"/>
      <c r="I197" s="291"/>
      <c r="J197" s="292"/>
      <c r="K197" s="291"/>
      <c r="L197" s="309"/>
      <c r="M197" s="291"/>
      <c r="N197" s="292"/>
      <c r="O197" s="291"/>
      <c r="P197" s="292"/>
      <c r="Q197" s="291"/>
      <c r="R197" s="292"/>
      <c r="S197" s="291"/>
      <c r="T197" s="292"/>
      <c r="U197" s="291"/>
      <c r="V197" s="292"/>
      <c r="W197" s="291"/>
      <c r="X197" s="292"/>
      <c r="Y197" s="291"/>
      <c r="Z197" s="291"/>
      <c r="AA197" s="292"/>
      <c r="AB197" s="291"/>
      <c r="AC197" s="292"/>
      <c r="AD197" s="291"/>
      <c r="AE197" s="292"/>
      <c r="AF197" s="291"/>
      <c r="AG197" s="292"/>
      <c r="AH197" s="291"/>
      <c r="AI197" s="292"/>
      <c r="AJ197" s="291"/>
      <c r="AK197" s="292"/>
      <c r="AL197" s="291"/>
      <c r="AM197" s="292"/>
      <c r="AN197" s="291"/>
      <c r="AO197" s="292"/>
      <c r="AP197" s="291"/>
      <c r="AQ197" s="292"/>
      <c r="AR197" s="291"/>
      <c r="AS197" s="292"/>
      <c r="AT197" s="291"/>
      <c r="AU197" s="291"/>
      <c r="AV197" s="292"/>
      <c r="AW197" s="291"/>
      <c r="AX197" s="292"/>
      <c r="AY197" s="291"/>
      <c r="AZ197" s="292"/>
      <c r="BA197" s="291"/>
      <c r="BB197" s="292"/>
      <c r="BC197" s="291"/>
      <c r="BD197" s="292"/>
      <c r="BE197" s="291"/>
      <c r="BF197" s="292"/>
      <c r="BG197" s="291"/>
      <c r="BH197" s="292"/>
      <c r="BI197" s="291"/>
      <c r="BJ197" s="300"/>
      <c r="BK197" s="298"/>
      <c r="BL197" s="299"/>
      <c r="BM197" s="299"/>
      <c r="BN197" s="300"/>
    </row>
    <row r="198" spans="1:66" s="301" customFormat="1" ht="54" x14ac:dyDescent="0.25">
      <c r="A198" s="268" t="s">
        <v>733</v>
      </c>
      <c r="B198" s="294"/>
      <c r="C198" s="298"/>
      <c r="D198" s="292"/>
      <c r="E198" s="291"/>
      <c r="F198" s="292"/>
      <c r="G198" s="291"/>
      <c r="H198" s="292"/>
      <c r="I198" s="291"/>
      <c r="J198" s="292"/>
      <c r="K198" s="291"/>
      <c r="L198" s="309"/>
      <c r="M198" s="291"/>
      <c r="N198" s="292"/>
      <c r="O198" s="291"/>
      <c r="P198" s="292"/>
      <c r="Q198" s="291"/>
      <c r="R198" s="292"/>
      <c r="S198" s="291"/>
      <c r="T198" s="292"/>
      <c r="U198" s="291"/>
      <c r="V198" s="292"/>
      <c r="W198" s="291"/>
      <c r="X198" s="292"/>
      <c r="Y198" s="291"/>
      <c r="Z198" s="291"/>
      <c r="AA198" s="292"/>
      <c r="AB198" s="291"/>
      <c r="AC198" s="292"/>
      <c r="AD198" s="291"/>
      <c r="AE198" s="292"/>
      <c r="AF198" s="291"/>
      <c r="AG198" s="292"/>
      <c r="AH198" s="291"/>
      <c r="AI198" s="292"/>
      <c r="AJ198" s="291"/>
      <c r="AK198" s="292"/>
      <c r="AL198" s="291"/>
      <c r="AM198" s="292"/>
      <c r="AN198" s="291"/>
      <c r="AO198" s="292"/>
      <c r="AP198" s="291"/>
      <c r="AQ198" s="292"/>
      <c r="AR198" s="291"/>
      <c r="AS198" s="292"/>
      <c r="AT198" s="291"/>
      <c r="AU198" s="291"/>
      <c r="AV198" s="292"/>
      <c r="AW198" s="291"/>
      <c r="AX198" s="292"/>
      <c r="AY198" s="291"/>
      <c r="AZ198" s="292"/>
      <c r="BA198" s="291"/>
      <c r="BB198" s="292"/>
      <c r="BC198" s="291"/>
      <c r="BD198" s="292"/>
      <c r="BE198" s="291"/>
      <c r="BF198" s="292"/>
      <c r="BG198" s="291"/>
      <c r="BH198" s="292"/>
      <c r="BI198" s="291"/>
      <c r="BJ198" s="300"/>
      <c r="BK198" s="298"/>
      <c r="BL198" s="299"/>
      <c r="BM198" s="299"/>
      <c r="BN198" s="300"/>
    </row>
    <row r="199" spans="1:66" s="301" customFormat="1" ht="18" x14ac:dyDescent="0.25">
      <c r="A199" s="268" t="s">
        <v>690</v>
      </c>
      <c r="B199" s="317" t="s">
        <v>691</v>
      </c>
      <c r="C199" s="298"/>
      <c r="D199" s="319" t="s">
        <v>734</v>
      </c>
      <c r="E199" s="290"/>
      <c r="F199" s="319" t="s">
        <v>734</v>
      </c>
      <c r="G199" s="290"/>
      <c r="H199" s="319" t="s">
        <v>734</v>
      </c>
      <c r="I199" s="290"/>
      <c r="J199" s="319" t="s">
        <v>734</v>
      </c>
      <c r="K199" s="290"/>
      <c r="L199" s="289"/>
      <c r="M199" s="290"/>
      <c r="N199" s="319" t="s">
        <v>734</v>
      </c>
      <c r="O199" s="290"/>
      <c r="P199" s="319" t="s">
        <v>734</v>
      </c>
      <c r="Q199" s="290"/>
      <c r="R199" s="319" t="s">
        <v>734</v>
      </c>
      <c r="S199" s="290"/>
      <c r="T199" s="319" t="s">
        <v>734</v>
      </c>
      <c r="U199" s="290"/>
      <c r="V199" s="319" t="s">
        <v>734</v>
      </c>
      <c r="W199" s="290"/>
      <c r="X199" s="319" t="s">
        <v>734</v>
      </c>
      <c r="Y199" s="290"/>
      <c r="Z199" s="290"/>
      <c r="AA199" s="319" t="s">
        <v>734</v>
      </c>
      <c r="AB199" s="290"/>
      <c r="AC199" s="319" t="s">
        <v>734</v>
      </c>
      <c r="AD199" s="290"/>
      <c r="AE199" s="319" t="s">
        <v>734</v>
      </c>
      <c r="AF199" s="290"/>
      <c r="AG199" s="319" t="s">
        <v>734</v>
      </c>
      <c r="AH199" s="290"/>
      <c r="AI199" s="319" t="s">
        <v>734</v>
      </c>
      <c r="AJ199" s="290"/>
      <c r="AK199" s="319" t="s">
        <v>734</v>
      </c>
      <c r="AL199" s="290"/>
      <c r="AM199" s="319" t="s">
        <v>734</v>
      </c>
      <c r="AN199" s="290"/>
      <c r="AO199" s="319" t="s">
        <v>734</v>
      </c>
      <c r="AP199" s="290"/>
      <c r="AQ199" s="319" t="s">
        <v>734</v>
      </c>
      <c r="AR199" s="290"/>
      <c r="AS199" s="319" t="s">
        <v>734</v>
      </c>
      <c r="AT199" s="290"/>
      <c r="AU199" s="290"/>
      <c r="AV199" s="319" t="s">
        <v>734</v>
      </c>
      <c r="AW199" s="290"/>
      <c r="AX199" s="319" t="s">
        <v>734</v>
      </c>
      <c r="AY199" s="290"/>
      <c r="AZ199" s="319" t="s">
        <v>734</v>
      </c>
      <c r="BA199" s="290"/>
      <c r="BB199" s="319" t="s">
        <v>734</v>
      </c>
      <c r="BC199" s="290"/>
      <c r="BD199" s="319" t="s">
        <v>734</v>
      </c>
      <c r="BE199" s="290"/>
      <c r="BF199" s="319" t="s">
        <v>734</v>
      </c>
      <c r="BG199" s="290"/>
      <c r="BH199" s="319" t="s">
        <v>734</v>
      </c>
      <c r="BI199" s="291"/>
      <c r="BJ199" s="320" t="s">
        <v>734</v>
      </c>
      <c r="BK199" s="298"/>
      <c r="BL199" s="299"/>
      <c r="BM199" s="299"/>
      <c r="BN199" s="300"/>
    </row>
    <row r="200" spans="1:66" s="301" customFormat="1" ht="18" x14ac:dyDescent="0.25">
      <c r="A200" s="268" t="s">
        <v>692</v>
      </c>
      <c r="B200" s="317" t="s">
        <v>693</v>
      </c>
      <c r="C200" s="298"/>
      <c r="D200" s="319" t="s">
        <v>734</v>
      </c>
      <c r="E200" s="290"/>
      <c r="F200" s="319" t="s">
        <v>734</v>
      </c>
      <c r="G200" s="290"/>
      <c r="H200" s="319" t="s">
        <v>734</v>
      </c>
      <c r="I200" s="290"/>
      <c r="J200" s="319" t="s">
        <v>734</v>
      </c>
      <c r="K200" s="290"/>
      <c r="L200" s="289"/>
      <c r="M200" s="290"/>
      <c r="N200" s="319" t="s">
        <v>734</v>
      </c>
      <c r="O200" s="290"/>
      <c r="P200" s="319" t="s">
        <v>734</v>
      </c>
      <c r="Q200" s="290"/>
      <c r="R200" s="319" t="s">
        <v>734</v>
      </c>
      <c r="S200" s="290"/>
      <c r="T200" s="319" t="s">
        <v>734</v>
      </c>
      <c r="U200" s="290"/>
      <c r="V200" s="319" t="s">
        <v>734</v>
      </c>
      <c r="W200" s="290"/>
      <c r="X200" s="319" t="s">
        <v>734</v>
      </c>
      <c r="Y200" s="290"/>
      <c r="Z200" s="290"/>
      <c r="AA200" s="319" t="s">
        <v>734</v>
      </c>
      <c r="AB200" s="290"/>
      <c r="AC200" s="319" t="s">
        <v>734</v>
      </c>
      <c r="AD200" s="290"/>
      <c r="AE200" s="319" t="s">
        <v>734</v>
      </c>
      <c r="AF200" s="290"/>
      <c r="AG200" s="319" t="s">
        <v>734</v>
      </c>
      <c r="AH200" s="290"/>
      <c r="AI200" s="319" t="s">
        <v>734</v>
      </c>
      <c r="AJ200" s="290"/>
      <c r="AK200" s="319" t="s">
        <v>734</v>
      </c>
      <c r="AL200" s="290"/>
      <c r="AM200" s="319" t="s">
        <v>734</v>
      </c>
      <c r="AN200" s="290"/>
      <c r="AO200" s="319" t="s">
        <v>734</v>
      </c>
      <c r="AP200" s="290"/>
      <c r="AQ200" s="319" t="s">
        <v>734</v>
      </c>
      <c r="AR200" s="290"/>
      <c r="AS200" s="319" t="s">
        <v>734</v>
      </c>
      <c r="AT200" s="290"/>
      <c r="AU200" s="290"/>
      <c r="AV200" s="319" t="s">
        <v>734</v>
      </c>
      <c r="AW200" s="290"/>
      <c r="AX200" s="319" t="s">
        <v>734</v>
      </c>
      <c r="AY200" s="290"/>
      <c r="AZ200" s="319" t="s">
        <v>734</v>
      </c>
      <c r="BA200" s="290"/>
      <c r="BB200" s="319" t="s">
        <v>734</v>
      </c>
      <c r="BC200" s="290"/>
      <c r="BD200" s="319" t="s">
        <v>734</v>
      </c>
      <c r="BE200" s="290"/>
      <c r="BF200" s="319" t="s">
        <v>734</v>
      </c>
      <c r="BG200" s="290"/>
      <c r="BH200" s="319" t="s">
        <v>734</v>
      </c>
      <c r="BI200" s="291"/>
      <c r="BJ200" s="320" t="s">
        <v>734</v>
      </c>
      <c r="BK200" s="298"/>
      <c r="BL200" s="299"/>
      <c r="BM200" s="299"/>
      <c r="BN200" s="300"/>
    </row>
    <row r="201" spans="1:66" s="301" customFormat="1" ht="36" x14ac:dyDescent="0.25">
      <c r="A201" s="268" t="s">
        <v>694</v>
      </c>
      <c r="B201" s="317" t="s">
        <v>720</v>
      </c>
      <c r="C201" s="298"/>
      <c r="D201" s="319" t="s">
        <v>734</v>
      </c>
      <c r="E201" s="290"/>
      <c r="F201" s="319" t="s">
        <v>734</v>
      </c>
      <c r="G201" s="290"/>
      <c r="H201" s="319" t="s">
        <v>734</v>
      </c>
      <c r="I201" s="290"/>
      <c r="J201" s="319" t="s">
        <v>734</v>
      </c>
      <c r="K201" s="290"/>
      <c r="L201" s="289"/>
      <c r="M201" s="290"/>
      <c r="N201" s="319" t="s">
        <v>734</v>
      </c>
      <c r="O201" s="290"/>
      <c r="P201" s="319" t="s">
        <v>734</v>
      </c>
      <c r="Q201" s="290"/>
      <c r="R201" s="319" t="s">
        <v>734</v>
      </c>
      <c r="S201" s="290"/>
      <c r="T201" s="319" t="s">
        <v>734</v>
      </c>
      <c r="U201" s="290"/>
      <c r="V201" s="319" t="s">
        <v>734</v>
      </c>
      <c r="W201" s="290"/>
      <c r="X201" s="319" t="s">
        <v>734</v>
      </c>
      <c r="Y201" s="290"/>
      <c r="Z201" s="290"/>
      <c r="AA201" s="319" t="s">
        <v>734</v>
      </c>
      <c r="AB201" s="290"/>
      <c r="AC201" s="319">
        <f>'MCS Budget - Detailed'!N982+'MCS Budget - Detailed'!N989</f>
        <v>2100</v>
      </c>
      <c r="AD201" s="290"/>
      <c r="AE201" s="319" t="s">
        <v>734</v>
      </c>
      <c r="AF201" s="290"/>
      <c r="AG201" s="319" t="s">
        <v>734</v>
      </c>
      <c r="AH201" s="290"/>
      <c r="AI201" s="319" t="s">
        <v>734</v>
      </c>
      <c r="AJ201" s="290"/>
      <c r="AK201" s="319" t="s">
        <v>734</v>
      </c>
      <c r="AL201" s="290"/>
      <c r="AM201" s="319" t="s">
        <v>734</v>
      </c>
      <c r="AN201" s="290"/>
      <c r="AO201" s="319" t="s">
        <v>734</v>
      </c>
      <c r="AP201" s="290"/>
      <c r="AQ201" s="319" t="s">
        <v>734</v>
      </c>
      <c r="AR201" s="290"/>
      <c r="AS201" s="319" t="s">
        <v>734</v>
      </c>
      <c r="AT201" s="290"/>
      <c r="AU201" s="290"/>
      <c r="AV201" s="319" t="s">
        <v>734</v>
      </c>
      <c r="AW201" s="290"/>
      <c r="AX201" s="319" t="s">
        <v>734</v>
      </c>
      <c r="AY201" s="290"/>
      <c r="AZ201" s="319" t="s">
        <v>734</v>
      </c>
      <c r="BA201" s="290"/>
      <c r="BB201" s="319" t="s">
        <v>734</v>
      </c>
      <c r="BC201" s="290"/>
      <c r="BD201" s="319" t="s">
        <v>734</v>
      </c>
      <c r="BE201" s="290"/>
      <c r="BF201" s="319" t="s">
        <v>734</v>
      </c>
      <c r="BG201" s="290"/>
      <c r="BH201" s="319" t="s">
        <v>734</v>
      </c>
      <c r="BI201" s="291"/>
      <c r="BJ201" s="320" t="s">
        <v>734</v>
      </c>
      <c r="BK201" s="298"/>
      <c r="BL201" s="299"/>
      <c r="BM201" s="299"/>
      <c r="BN201" s="300"/>
    </row>
    <row r="202" spans="1:66" s="301" customFormat="1" ht="18" x14ac:dyDescent="0.25">
      <c r="A202" s="268" t="s">
        <v>697</v>
      </c>
      <c r="B202" s="317" t="s">
        <v>624</v>
      </c>
      <c r="C202" s="298"/>
      <c r="D202" s="319" t="s">
        <v>734</v>
      </c>
      <c r="E202" s="290"/>
      <c r="F202" s="319" t="s">
        <v>734</v>
      </c>
      <c r="G202" s="290"/>
      <c r="H202" s="319" t="s">
        <v>734</v>
      </c>
      <c r="I202" s="290"/>
      <c r="J202" s="319" t="s">
        <v>734</v>
      </c>
      <c r="K202" s="290"/>
      <c r="L202" s="289"/>
      <c r="M202" s="290"/>
      <c r="N202" s="319" t="s">
        <v>734</v>
      </c>
      <c r="O202" s="290"/>
      <c r="P202" s="319" t="s">
        <v>734</v>
      </c>
      <c r="Q202" s="290"/>
      <c r="R202" s="319" t="s">
        <v>734</v>
      </c>
      <c r="S202" s="290"/>
      <c r="T202" s="319" t="s">
        <v>734</v>
      </c>
      <c r="U202" s="290"/>
      <c r="V202" s="319" t="s">
        <v>734</v>
      </c>
      <c r="W202" s="290"/>
      <c r="X202" s="319" t="s">
        <v>734</v>
      </c>
      <c r="Y202" s="290"/>
      <c r="Z202" s="290"/>
      <c r="AA202" s="319" t="s">
        <v>734</v>
      </c>
      <c r="AB202" s="290"/>
      <c r="AC202" s="319" t="s">
        <v>734</v>
      </c>
      <c r="AD202" s="290"/>
      <c r="AE202" s="319" t="s">
        <v>734</v>
      </c>
      <c r="AF202" s="290"/>
      <c r="AG202" s="319" t="s">
        <v>734</v>
      </c>
      <c r="AH202" s="290"/>
      <c r="AI202" s="319" t="s">
        <v>734</v>
      </c>
      <c r="AJ202" s="290"/>
      <c r="AK202" s="319" t="s">
        <v>734</v>
      </c>
      <c r="AL202" s="290"/>
      <c r="AM202" s="319" t="s">
        <v>734</v>
      </c>
      <c r="AN202" s="290"/>
      <c r="AO202" s="319" t="s">
        <v>734</v>
      </c>
      <c r="AP202" s="290"/>
      <c r="AQ202" s="319" t="s">
        <v>734</v>
      </c>
      <c r="AR202" s="290"/>
      <c r="AS202" s="319" t="s">
        <v>734</v>
      </c>
      <c r="AT202" s="290"/>
      <c r="AU202" s="290"/>
      <c r="AV202" s="319" t="s">
        <v>734</v>
      </c>
      <c r="AW202" s="290"/>
      <c r="AX202" s="319" t="s">
        <v>734</v>
      </c>
      <c r="AY202" s="290"/>
      <c r="AZ202" s="319" t="s">
        <v>734</v>
      </c>
      <c r="BA202" s="290"/>
      <c r="BB202" s="319" t="s">
        <v>734</v>
      </c>
      <c r="BC202" s="290"/>
      <c r="BD202" s="319" t="s">
        <v>734</v>
      </c>
      <c r="BE202" s="290"/>
      <c r="BF202" s="319" t="s">
        <v>734</v>
      </c>
      <c r="BG202" s="290"/>
      <c r="BH202" s="319" t="s">
        <v>734</v>
      </c>
      <c r="BI202" s="291"/>
      <c r="BJ202" s="320" t="s">
        <v>734</v>
      </c>
      <c r="BK202" s="298"/>
      <c r="BL202" s="299"/>
      <c r="BM202" s="299"/>
      <c r="BN202" s="300"/>
    </row>
    <row r="203" spans="1:66" s="301" customFormat="1" ht="18" x14ac:dyDescent="0.25">
      <c r="A203" s="268" t="s">
        <v>698</v>
      </c>
      <c r="B203" s="317" t="s">
        <v>492</v>
      </c>
      <c r="C203" s="298"/>
      <c r="D203" s="319" t="s">
        <v>734</v>
      </c>
      <c r="E203" s="290"/>
      <c r="F203" s="319" t="s">
        <v>734</v>
      </c>
      <c r="G203" s="290"/>
      <c r="H203" s="319" t="s">
        <v>734</v>
      </c>
      <c r="I203" s="290"/>
      <c r="J203" s="319" t="s">
        <v>734</v>
      </c>
      <c r="K203" s="290"/>
      <c r="L203" s="289"/>
      <c r="M203" s="290"/>
      <c r="N203" s="319" t="s">
        <v>734</v>
      </c>
      <c r="O203" s="290"/>
      <c r="P203" s="319" t="s">
        <v>734</v>
      </c>
      <c r="Q203" s="290"/>
      <c r="R203" s="319" t="s">
        <v>734</v>
      </c>
      <c r="S203" s="290"/>
      <c r="T203" s="319" t="s">
        <v>734</v>
      </c>
      <c r="U203" s="290"/>
      <c r="V203" s="319" t="s">
        <v>734</v>
      </c>
      <c r="W203" s="290"/>
      <c r="X203" s="319" t="s">
        <v>734</v>
      </c>
      <c r="Y203" s="290"/>
      <c r="Z203" s="290"/>
      <c r="AA203" s="319" t="s">
        <v>734</v>
      </c>
      <c r="AB203" s="290"/>
      <c r="AC203" s="319" t="s">
        <v>734</v>
      </c>
      <c r="AD203" s="290"/>
      <c r="AE203" s="319" t="s">
        <v>734</v>
      </c>
      <c r="AF203" s="290"/>
      <c r="AG203" s="319" t="s">
        <v>734</v>
      </c>
      <c r="AH203" s="290"/>
      <c r="AI203" s="319" t="s">
        <v>734</v>
      </c>
      <c r="AJ203" s="290"/>
      <c r="AK203" s="319" t="s">
        <v>734</v>
      </c>
      <c r="AL203" s="290"/>
      <c r="AM203" s="319" t="s">
        <v>734</v>
      </c>
      <c r="AN203" s="290"/>
      <c r="AO203" s="319" t="s">
        <v>734</v>
      </c>
      <c r="AP203" s="290"/>
      <c r="AQ203" s="319" t="s">
        <v>734</v>
      </c>
      <c r="AR203" s="290"/>
      <c r="AS203" s="319" t="s">
        <v>734</v>
      </c>
      <c r="AT203" s="290"/>
      <c r="AU203" s="290"/>
      <c r="AV203" s="319" t="s">
        <v>734</v>
      </c>
      <c r="AW203" s="290"/>
      <c r="AX203" s="319" t="s">
        <v>734</v>
      </c>
      <c r="AY203" s="290"/>
      <c r="AZ203" s="319" t="s">
        <v>734</v>
      </c>
      <c r="BA203" s="290"/>
      <c r="BB203" s="319" t="s">
        <v>734</v>
      </c>
      <c r="BC203" s="290"/>
      <c r="BD203" s="319" t="s">
        <v>734</v>
      </c>
      <c r="BE203" s="290"/>
      <c r="BF203" s="319" t="s">
        <v>734</v>
      </c>
      <c r="BG203" s="290"/>
      <c r="BH203" s="319" t="s">
        <v>734</v>
      </c>
      <c r="BI203" s="291"/>
      <c r="BJ203" s="320" t="s">
        <v>734</v>
      </c>
      <c r="BK203" s="298"/>
      <c r="BL203" s="299"/>
      <c r="BM203" s="299"/>
      <c r="BN203" s="300"/>
    </row>
    <row r="204" spans="1:66" s="301" customFormat="1" ht="18" x14ac:dyDescent="0.25">
      <c r="A204" s="268" t="s">
        <v>699</v>
      </c>
      <c r="B204" s="317" t="s">
        <v>700</v>
      </c>
      <c r="C204" s="298"/>
      <c r="D204" s="319">
        <v>0</v>
      </c>
      <c r="E204" s="290"/>
      <c r="F204" s="319">
        <v>0</v>
      </c>
      <c r="G204" s="290"/>
      <c r="H204" s="319"/>
      <c r="I204" s="290"/>
      <c r="J204" s="319">
        <v>0</v>
      </c>
      <c r="K204" s="290"/>
      <c r="L204" s="289"/>
      <c r="M204" s="290"/>
      <c r="N204" s="319">
        <v>0</v>
      </c>
      <c r="O204" s="290"/>
      <c r="P204" s="319"/>
      <c r="Q204" s="290"/>
      <c r="R204" s="319"/>
      <c r="S204" s="290"/>
      <c r="T204" s="319"/>
      <c r="U204" s="290"/>
      <c r="V204" s="319"/>
      <c r="W204" s="290"/>
      <c r="X204" s="319"/>
      <c r="Y204" s="290"/>
      <c r="Z204" s="290"/>
      <c r="AA204" s="319"/>
      <c r="AB204" s="290"/>
      <c r="AC204" s="319">
        <f>'MCS Budget - Detailed'!N983+'MCS Budget - Detailed'!N990</f>
        <v>169973</v>
      </c>
      <c r="AD204" s="290"/>
      <c r="AE204" s="319"/>
      <c r="AF204" s="290"/>
      <c r="AG204" s="319">
        <v>0</v>
      </c>
      <c r="AH204" s="290"/>
      <c r="AI204" s="319"/>
      <c r="AJ204" s="290"/>
      <c r="AK204" s="319">
        <v>0</v>
      </c>
      <c r="AL204" s="290"/>
      <c r="AM204" s="319"/>
      <c r="AN204" s="290"/>
      <c r="AO204" s="319"/>
      <c r="AP204" s="290"/>
      <c r="AQ204" s="319"/>
      <c r="AR204" s="290"/>
      <c r="AS204" s="319"/>
      <c r="AT204" s="290"/>
      <c r="AU204" s="290"/>
      <c r="AV204" s="319"/>
      <c r="AW204" s="290"/>
      <c r="AX204" s="319"/>
      <c r="AY204" s="290"/>
      <c r="AZ204" s="319"/>
      <c r="BA204" s="290"/>
      <c r="BB204" s="319"/>
      <c r="BC204" s="290"/>
      <c r="BD204" s="319">
        <v>0</v>
      </c>
      <c r="BE204" s="290"/>
      <c r="BF204" s="319"/>
      <c r="BG204" s="290"/>
      <c r="BH204" s="319"/>
      <c r="BI204" s="291"/>
      <c r="BJ204" s="292">
        <f>D204+F204+H204+J204+X204+N204+P204+R204+T204+V204+AA204+AC204+AG204+AI204+AK204+AM204+AO204+AQ204+AS204+AV204+AX204+AZ204+BB204+BD204+BH204+BF204+AE204</f>
        <v>169973</v>
      </c>
      <c r="BK204" s="298"/>
      <c r="BL204" s="299"/>
      <c r="BM204" s="299"/>
      <c r="BN204" s="300"/>
    </row>
    <row r="205" spans="1:66" s="301" customFormat="1" ht="18.75" thickBot="1" x14ac:dyDescent="0.3">
      <c r="A205" s="268" t="s">
        <v>751</v>
      </c>
      <c r="B205" s="317" t="s">
        <v>506</v>
      </c>
      <c r="C205" s="291"/>
      <c r="D205" s="302">
        <v>0</v>
      </c>
      <c r="E205" s="290"/>
      <c r="F205" s="302">
        <v>0</v>
      </c>
      <c r="G205" s="290"/>
      <c r="H205" s="302">
        <v>0</v>
      </c>
      <c r="I205" s="290"/>
      <c r="J205" s="302">
        <v>0</v>
      </c>
      <c r="K205" s="290"/>
      <c r="L205" s="289"/>
      <c r="M205" s="290"/>
      <c r="N205" s="302">
        <v>0</v>
      </c>
      <c r="O205" s="290"/>
      <c r="P205" s="302">
        <v>0</v>
      </c>
      <c r="Q205" s="290"/>
      <c r="R205" s="302">
        <v>0</v>
      </c>
      <c r="S205" s="290"/>
      <c r="T205" s="302">
        <v>0</v>
      </c>
      <c r="U205" s="290"/>
      <c r="V205" s="302">
        <v>0</v>
      </c>
      <c r="W205" s="290"/>
      <c r="X205" s="302">
        <v>0</v>
      </c>
      <c r="Y205" s="290"/>
      <c r="Z205" s="290"/>
      <c r="AA205" s="302">
        <v>0</v>
      </c>
      <c r="AB205" s="290"/>
      <c r="AC205" s="302">
        <f>'MCS Budget - Detailed'!N984+'MCS Budget - Detailed'!N991</f>
        <v>219224</v>
      </c>
      <c r="AD205" s="290"/>
      <c r="AE205" s="302">
        <v>0</v>
      </c>
      <c r="AF205" s="290"/>
      <c r="AG205" s="302">
        <v>0</v>
      </c>
      <c r="AH205" s="290"/>
      <c r="AI205" s="302">
        <v>0</v>
      </c>
      <c r="AJ205" s="290"/>
      <c r="AK205" s="302">
        <v>0</v>
      </c>
      <c r="AL205" s="290"/>
      <c r="AM205" s="302">
        <v>0</v>
      </c>
      <c r="AN205" s="290"/>
      <c r="AO205" s="302">
        <v>0</v>
      </c>
      <c r="AP205" s="290"/>
      <c r="AQ205" s="302">
        <v>0</v>
      </c>
      <c r="AR205" s="290"/>
      <c r="AS205" s="302">
        <v>0</v>
      </c>
      <c r="AT205" s="290"/>
      <c r="AU205" s="290"/>
      <c r="AV205" s="302">
        <v>0</v>
      </c>
      <c r="AW205" s="290"/>
      <c r="AX205" s="302">
        <v>0</v>
      </c>
      <c r="AY205" s="290"/>
      <c r="AZ205" s="302">
        <v>0</v>
      </c>
      <c r="BA205" s="290"/>
      <c r="BB205" s="302">
        <v>0</v>
      </c>
      <c r="BC205" s="290"/>
      <c r="BD205" s="302">
        <v>0</v>
      </c>
      <c r="BE205" s="290"/>
      <c r="BF205" s="302">
        <v>0</v>
      </c>
      <c r="BG205" s="290"/>
      <c r="BH205" s="302">
        <v>0</v>
      </c>
      <c r="BI205" s="291"/>
      <c r="BJ205" s="292">
        <f>D205+F205+H205+J205+X205+N205+P205+R205+T205+V205+AA205+AC205+AG205+AI205+AK205+AM205+AO205+AQ205+AS205+AV205+AX205+AZ205+BB205+BD205+BH205+BF205+AE205</f>
        <v>219224</v>
      </c>
      <c r="BK205" s="291"/>
      <c r="BL205" s="299"/>
      <c r="BM205" s="299"/>
      <c r="BN205" s="300"/>
    </row>
    <row r="206" spans="1:66" s="301" customFormat="1" ht="18.75" thickBot="1" x14ac:dyDescent="0.3">
      <c r="A206" s="303" t="s">
        <v>735</v>
      </c>
      <c r="B206" s="312"/>
      <c r="C206" s="307"/>
      <c r="D206" s="306">
        <f>SUM(D199:D205)</f>
        <v>0</v>
      </c>
      <c r="E206" s="307"/>
      <c r="F206" s="306">
        <f>SUM(F199:F205)</f>
        <v>0</v>
      </c>
      <c r="G206" s="307"/>
      <c r="H206" s="306">
        <f>SUM(H199:H205)</f>
        <v>0</v>
      </c>
      <c r="I206" s="307"/>
      <c r="J206" s="306">
        <f>SUM(J199:J205)</f>
        <v>0</v>
      </c>
      <c r="K206" s="307"/>
      <c r="L206" s="306">
        <f>SUM(L199:L205)</f>
        <v>0</v>
      </c>
      <c r="M206" s="307"/>
      <c r="N206" s="306">
        <f>SUM(N199:N205)</f>
        <v>0</v>
      </c>
      <c r="O206" s="307"/>
      <c r="P206" s="306">
        <f>SUM(P199:P205)</f>
        <v>0</v>
      </c>
      <c r="Q206" s="307"/>
      <c r="R206" s="306">
        <f>SUM(R199:R205)</f>
        <v>0</v>
      </c>
      <c r="S206" s="307"/>
      <c r="T206" s="306">
        <f>SUM(T199:T205)</f>
        <v>0</v>
      </c>
      <c r="U206" s="307"/>
      <c r="V206" s="306">
        <f>SUM(V199:V205)</f>
        <v>0</v>
      </c>
      <c r="W206" s="307"/>
      <c r="X206" s="306">
        <f>SUM(X199:X205)</f>
        <v>0</v>
      </c>
      <c r="Y206" s="307"/>
      <c r="Z206" s="307"/>
      <c r="AA206" s="306">
        <f>SUM(AA199:AA205)</f>
        <v>0</v>
      </c>
      <c r="AB206" s="307"/>
      <c r="AC206" s="306">
        <f>SUM(AC199:AC205)</f>
        <v>391297</v>
      </c>
      <c r="AD206" s="307"/>
      <c r="AE206" s="306">
        <f>SUM(AE199:AE205)</f>
        <v>0</v>
      </c>
      <c r="AF206" s="307"/>
      <c r="AG206" s="306">
        <f>SUM(AG199:AG205)</f>
        <v>0</v>
      </c>
      <c r="AH206" s="307"/>
      <c r="AI206" s="306">
        <f>SUM(AI199:AI205)</f>
        <v>0</v>
      </c>
      <c r="AJ206" s="307"/>
      <c r="AK206" s="306">
        <f>SUM(AK199:AK205)</f>
        <v>0</v>
      </c>
      <c r="AL206" s="307"/>
      <c r="AM206" s="306">
        <f>SUM(AM199:AM205)</f>
        <v>0</v>
      </c>
      <c r="AN206" s="307"/>
      <c r="AO206" s="306">
        <f>SUM(AO199:AO205)</f>
        <v>0</v>
      </c>
      <c r="AP206" s="307"/>
      <c r="AQ206" s="306">
        <f>SUM(AQ199:AQ205)</f>
        <v>0</v>
      </c>
      <c r="AR206" s="307"/>
      <c r="AS206" s="306">
        <f>SUM(AS199:AS205)</f>
        <v>0</v>
      </c>
      <c r="AT206" s="307"/>
      <c r="AU206" s="307"/>
      <c r="AV206" s="306">
        <f>SUM(AV199:AV205)</f>
        <v>0</v>
      </c>
      <c r="AW206" s="307"/>
      <c r="AX206" s="306">
        <f>SUM(AX199:AX205)</f>
        <v>0</v>
      </c>
      <c r="AY206" s="307"/>
      <c r="AZ206" s="306">
        <f>SUM(AZ199:AZ205)</f>
        <v>0</v>
      </c>
      <c r="BA206" s="307"/>
      <c r="BB206" s="306">
        <f>SUM(BB199:BB205)</f>
        <v>0</v>
      </c>
      <c r="BC206" s="307"/>
      <c r="BD206" s="306">
        <f>SUM(BD199:BD205)</f>
        <v>0</v>
      </c>
      <c r="BE206" s="307"/>
      <c r="BF206" s="306">
        <f>SUM(BF199:BF205)</f>
        <v>0</v>
      </c>
      <c r="BG206" s="307"/>
      <c r="BH206" s="306">
        <f>SUM(BH199:BH205)</f>
        <v>0</v>
      </c>
      <c r="BI206" s="307"/>
      <c r="BJ206" s="306">
        <f>D206+F206+H206+J206+X206+N206+P206+R206+T206+V206+AA206+AC206+AG206+AI206+AK206+AM206+AO206+AQ206+AS206+AV206+AX206+AZ206+BB206+BD206+BH206+BF206+AE206</f>
        <v>391297</v>
      </c>
      <c r="BK206" s="307"/>
      <c r="BL206" s="308"/>
      <c r="BM206" s="308"/>
      <c r="BN206" s="300"/>
    </row>
    <row r="207" spans="1:66" s="301" customFormat="1" ht="18.75" thickBot="1" x14ac:dyDescent="0.3">
      <c r="A207" s="268"/>
      <c r="B207" s="294"/>
      <c r="C207" s="321"/>
      <c r="D207" s="292"/>
      <c r="E207" s="291"/>
      <c r="F207" s="292"/>
      <c r="G207" s="291"/>
      <c r="H207" s="292"/>
      <c r="I207" s="291"/>
      <c r="J207" s="292"/>
      <c r="K207" s="291"/>
      <c r="L207" s="309"/>
      <c r="M207" s="291"/>
      <c r="N207" s="292"/>
      <c r="O207" s="291"/>
      <c r="P207" s="292"/>
      <c r="Q207" s="291"/>
      <c r="R207" s="292"/>
      <c r="S207" s="291"/>
      <c r="T207" s="292"/>
      <c r="U207" s="291"/>
      <c r="V207" s="292"/>
      <c r="W207" s="291"/>
      <c r="X207" s="292"/>
      <c r="Y207" s="291"/>
      <c r="Z207" s="291"/>
      <c r="AA207" s="292"/>
      <c r="AB207" s="291"/>
      <c r="AC207" s="292"/>
      <c r="AD207" s="291"/>
      <c r="AE207" s="292"/>
      <c r="AF207" s="291"/>
      <c r="AG207" s="292"/>
      <c r="AH207" s="291"/>
      <c r="AI207" s="292"/>
      <c r="AJ207" s="291"/>
      <c r="AK207" s="292"/>
      <c r="AL207" s="291"/>
      <c r="AM207" s="292"/>
      <c r="AN207" s="291"/>
      <c r="AO207" s="292"/>
      <c r="AP207" s="291"/>
      <c r="AQ207" s="292"/>
      <c r="AR207" s="291"/>
      <c r="AS207" s="292"/>
      <c r="AT207" s="291"/>
      <c r="AU207" s="291"/>
      <c r="AV207" s="292"/>
      <c r="AW207" s="291"/>
      <c r="AX207" s="292"/>
      <c r="AY207" s="291"/>
      <c r="AZ207" s="292"/>
      <c r="BA207" s="291"/>
      <c r="BB207" s="292"/>
      <c r="BC207" s="291"/>
      <c r="BD207" s="292"/>
      <c r="BE207" s="291"/>
      <c r="BF207" s="292"/>
      <c r="BG207" s="291"/>
      <c r="BH207" s="292"/>
      <c r="BI207" s="291"/>
      <c r="BJ207" s="292"/>
      <c r="BK207" s="321"/>
      <c r="BL207" s="299"/>
      <c r="BM207" s="299"/>
      <c r="BN207" s="300"/>
    </row>
    <row r="208" spans="1:66" s="301" customFormat="1" ht="18.75" thickBot="1" x14ac:dyDescent="0.3">
      <c r="A208" s="303" t="s">
        <v>736</v>
      </c>
      <c r="B208" s="312"/>
      <c r="C208" s="307"/>
      <c r="D208" s="306">
        <f>SUM(D185+D42+D206+D196)</f>
        <v>3014658</v>
      </c>
      <c r="E208" s="307"/>
      <c r="F208" s="306">
        <f>SUM(F185+F42+F206+F196)</f>
        <v>1413473</v>
      </c>
      <c r="G208" s="307"/>
      <c r="H208" s="306">
        <f>SUM(H185+H42+H206+H196)</f>
        <v>0</v>
      </c>
      <c r="I208" s="307"/>
      <c r="J208" s="306">
        <f>SUM(J185+J42+J206+J196)</f>
        <v>176138</v>
      </c>
      <c r="K208" s="307"/>
      <c r="L208" s="306">
        <f>SUM(L185+L42+L206+L196)</f>
        <v>0</v>
      </c>
      <c r="M208" s="307"/>
      <c r="N208" s="306">
        <f>SUM(N185+N42+N206+N196)</f>
        <v>153198</v>
      </c>
      <c r="O208" s="307"/>
      <c r="P208" s="306">
        <f>SUM(P185+P42+P206+P196)</f>
        <v>0</v>
      </c>
      <c r="Q208" s="307"/>
      <c r="R208" s="306">
        <f>SUM(R185+R42+R206+R196)</f>
        <v>202243</v>
      </c>
      <c r="S208" s="307"/>
      <c r="T208" s="306">
        <f>SUM(T185+T42+T206+T196)</f>
        <v>0</v>
      </c>
      <c r="U208" s="307"/>
      <c r="V208" s="306">
        <f>SUM(V185+V42+V206+V196)</f>
        <v>0</v>
      </c>
      <c r="W208" s="307"/>
      <c r="X208" s="306">
        <f>SUM(X185+X42+X206+X196)</f>
        <v>0</v>
      </c>
      <c r="Y208" s="307"/>
      <c r="Z208" s="307"/>
      <c r="AA208" s="306">
        <f>SUM(AA185+AA42+AA206+AA196)</f>
        <v>0</v>
      </c>
      <c r="AB208" s="307"/>
      <c r="AC208" s="306">
        <f>SUM(AC185+AC42+AC206+AC196)</f>
        <v>391297</v>
      </c>
      <c r="AD208" s="307"/>
      <c r="AE208" s="306">
        <f>SUM(AE185+AE42+AE206+AE196)</f>
        <v>0</v>
      </c>
      <c r="AF208" s="307"/>
      <c r="AG208" s="306">
        <f>SUM(AG185+AG42+AG206+AG196)</f>
        <v>0</v>
      </c>
      <c r="AH208" s="307"/>
      <c r="AI208" s="306">
        <f>SUM(AI185+AI42+AI206+AI196)</f>
        <v>0</v>
      </c>
      <c r="AJ208" s="307"/>
      <c r="AK208" s="306">
        <f>SUM(AK185+AK42+AK206+AK196)</f>
        <v>253465</v>
      </c>
      <c r="AL208" s="307"/>
      <c r="AM208" s="306">
        <f>SUM(AM185+AM42+AM206+AM196)</f>
        <v>0</v>
      </c>
      <c r="AN208" s="307"/>
      <c r="AO208" s="306">
        <f>SUM(AO185+AO42+AO206+AO196)</f>
        <v>0</v>
      </c>
      <c r="AP208" s="307"/>
      <c r="AQ208" s="306">
        <f>SUM(AQ185+AQ42+AQ206+AQ196)</f>
        <v>0</v>
      </c>
      <c r="AR208" s="307"/>
      <c r="AS208" s="306">
        <f>SUM(AS185+AS42+AS206+AS196)</f>
        <v>0</v>
      </c>
      <c r="AT208" s="307"/>
      <c r="AU208" s="307"/>
      <c r="AV208" s="306">
        <f>SUM(AV185+AV42+AV206+AV196)</f>
        <v>0</v>
      </c>
      <c r="AW208" s="307"/>
      <c r="AX208" s="306">
        <f>SUM(AX185+AX42+AX206+AX196)</f>
        <v>0</v>
      </c>
      <c r="AY208" s="307"/>
      <c r="AZ208" s="306">
        <f>SUM(AZ185+AZ42+AZ206+AZ196)</f>
        <v>0</v>
      </c>
      <c r="BA208" s="307"/>
      <c r="BB208" s="306">
        <f>SUM(BB185+BB42+BB206+BB196)</f>
        <v>0</v>
      </c>
      <c r="BC208" s="307"/>
      <c r="BD208" s="306">
        <f>SUM(BD185+BD42+BD206+BD196)</f>
        <v>0</v>
      </c>
      <c r="BE208" s="307"/>
      <c r="BF208" s="306">
        <f>SUM(BF185+BF42+BF206+BF196)</f>
        <v>0</v>
      </c>
      <c r="BG208" s="307"/>
      <c r="BH208" s="306">
        <f>SUM(BH185+BH42+BH206+BH196)</f>
        <v>0</v>
      </c>
      <c r="BI208" s="307"/>
      <c r="BJ208" s="306">
        <f>D208+F208+H208+J208+X208+N208+P208+R208+T208+V208+AA208+AC208+AG208+AI208+AK208+AM208+AO208+AQ208+AS208+AV208+AX208+AZ208+BB208+BD208+BH208+BF208+AE208</f>
        <v>5604472</v>
      </c>
      <c r="BK208" s="307"/>
      <c r="BL208" s="308"/>
      <c r="BM208" s="308"/>
      <c r="BN208" s="300"/>
    </row>
    <row r="209" spans="1:75" s="301" customFormat="1" ht="18" x14ac:dyDescent="0.25">
      <c r="A209" s="268"/>
      <c r="B209" s="294"/>
      <c r="C209" s="298"/>
      <c r="D209" s="292"/>
      <c r="E209" s="291"/>
      <c r="F209" s="292"/>
      <c r="G209" s="291"/>
      <c r="H209" s="292"/>
      <c r="I209" s="291"/>
      <c r="J209" s="292"/>
      <c r="K209" s="291"/>
      <c r="L209" s="309"/>
      <c r="M209" s="291"/>
      <c r="N209" s="292"/>
      <c r="O209" s="291"/>
      <c r="P209" s="292"/>
      <c r="Q209" s="291"/>
      <c r="R209" s="292"/>
      <c r="S209" s="291"/>
      <c r="T209" s="292"/>
      <c r="U209" s="291"/>
      <c r="V209" s="292"/>
      <c r="W209" s="291"/>
      <c r="X209" s="292"/>
      <c r="Y209" s="291"/>
      <c r="Z209" s="291"/>
      <c r="AA209" s="292"/>
      <c r="AB209" s="291"/>
      <c r="AC209" s="292"/>
      <c r="AD209" s="291"/>
      <c r="AE209" s="292"/>
      <c r="AF209" s="291"/>
      <c r="AG209" s="292"/>
      <c r="AH209" s="291"/>
      <c r="AI209" s="292"/>
      <c r="AJ209" s="291"/>
      <c r="AK209" s="292"/>
      <c r="AL209" s="291"/>
      <c r="AM209" s="292"/>
      <c r="AN209" s="291"/>
      <c r="AO209" s="292"/>
      <c r="AP209" s="291"/>
      <c r="AQ209" s="292"/>
      <c r="AR209" s="291"/>
      <c r="AS209" s="292"/>
      <c r="AT209" s="291"/>
      <c r="AU209" s="291"/>
      <c r="AV209" s="292"/>
      <c r="AW209" s="291"/>
      <c r="AX209" s="292"/>
      <c r="AY209" s="291"/>
      <c r="AZ209" s="292"/>
      <c r="BA209" s="291"/>
      <c r="BB209" s="292"/>
      <c r="BC209" s="291"/>
      <c r="BD209" s="292"/>
      <c r="BE209" s="291"/>
      <c r="BF209" s="292"/>
      <c r="BG209" s="291"/>
      <c r="BH209" s="292"/>
      <c r="BI209" s="291"/>
      <c r="BJ209" s="292"/>
      <c r="BK209" s="298"/>
      <c r="BL209" s="299"/>
      <c r="BM209" s="299"/>
      <c r="BN209" s="300"/>
    </row>
    <row r="210" spans="1:75" s="301" customFormat="1" ht="18" x14ac:dyDescent="0.25">
      <c r="A210" s="268" t="s">
        <v>737</v>
      </c>
      <c r="B210" s="294"/>
      <c r="C210" s="298"/>
      <c r="D210" s="292"/>
      <c r="E210" s="291"/>
      <c r="F210" s="292"/>
      <c r="G210" s="291"/>
      <c r="H210" s="292"/>
      <c r="I210" s="291"/>
      <c r="J210" s="292"/>
      <c r="K210" s="291"/>
      <c r="L210" s="309"/>
      <c r="M210" s="291"/>
      <c r="N210" s="292"/>
      <c r="O210" s="291"/>
      <c r="P210" s="292"/>
      <c r="Q210" s="291"/>
      <c r="R210" s="292"/>
      <c r="S210" s="291"/>
      <c r="T210" s="292"/>
      <c r="U210" s="291"/>
      <c r="V210" s="292"/>
      <c r="W210" s="291"/>
      <c r="X210" s="292"/>
      <c r="Y210" s="291"/>
      <c r="Z210" s="291"/>
      <c r="AA210" s="292"/>
      <c r="AB210" s="291"/>
      <c r="AC210" s="292"/>
      <c r="AD210" s="291"/>
      <c r="AE210" s="292"/>
      <c r="AF210" s="291"/>
      <c r="AG210" s="292"/>
      <c r="AH210" s="291"/>
      <c r="AI210" s="292"/>
      <c r="AJ210" s="291"/>
      <c r="AK210" s="292"/>
      <c r="AL210" s="291"/>
      <c r="AM210" s="292"/>
      <c r="AN210" s="291"/>
      <c r="AO210" s="292"/>
      <c r="AP210" s="291"/>
      <c r="AQ210" s="292"/>
      <c r="AR210" s="291"/>
      <c r="AS210" s="292"/>
      <c r="AT210" s="291"/>
      <c r="AU210" s="291"/>
      <c r="AV210" s="292"/>
      <c r="AW210" s="291"/>
      <c r="AX210" s="292"/>
      <c r="AY210" s="291"/>
      <c r="AZ210" s="292"/>
      <c r="BA210" s="291"/>
      <c r="BB210" s="292"/>
      <c r="BC210" s="291"/>
      <c r="BD210" s="292"/>
      <c r="BE210" s="291"/>
      <c r="BF210" s="292"/>
      <c r="BG210" s="291"/>
      <c r="BH210" s="292"/>
      <c r="BI210" s="291"/>
      <c r="BJ210" s="292"/>
      <c r="BK210" s="298"/>
      <c r="BL210" s="299"/>
      <c r="BM210" s="299"/>
      <c r="BN210" s="300"/>
    </row>
    <row r="211" spans="1:75" s="301" customFormat="1" ht="37.5" x14ac:dyDescent="0.35">
      <c r="A211" s="269" t="s">
        <v>738</v>
      </c>
      <c r="B211" s="317" t="s">
        <v>739</v>
      </c>
      <c r="C211" s="298"/>
      <c r="D211" s="289">
        <v>0</v>
      </c>
      <c r="E211" s="290"/>
      <c r="F211" s="289">
        <v>0</v>
      </c>
      <c r="G211" s="290"/>
      <c r="H211" s="289">
        <v>0</v>
      </c>
      <c r="I211" s="290"/>
      <c r="J211" s="289">
        <v>0</v>
      </c>
      <c r="K211" s="290"/>
      <c r="L211" s="289">
        <v>0</v>
      </c>
      <c r="M211" s="290"/>
      <c r="N211" s="289">
        <v>0</v>
      </c>
      <c r="O211" s="290"/>
      <c r="P211" s="289">
        <v>0</v>
      </c>
      <c r="Q211" s="290"/>
      <c r="R211" s="289">
        <v>0</v>
      </c>
      <c r="S211" s="290"/>
      <c r="T211" s="289">
        <v>0</v>
      </c>
      <c r="U211" s="290"/>
      <c r="V211" s="289">
        <v>0</v>
      </c>
      <c r="W211" s="290"/>
      <c r="X211" s="289">
        <v>0</v>
      </c>
      <c r="Y211" s="290"/>
      <c r="Z211" s="290"/>
      <c r="AA211" s="289">
        <v>0</v>
      </c>
      <c r="AB211" s="290"/>
      <c r="AC211" s="289">
        <v>0</v>
      </c>
      <c r="AD211" s="290"/>
      <c r="AE211" s="289">
        <v>0</v>
      </c>
      <c r="AF211" s="290"/>
      <c r="AG211" s="289">
        <v>0</v>
      </c>
      <c r="AH211" s="290"/>
      <c r="AI211" s="289">
        <v>0</v>
      </c>
      <c r="AJ211" s="290"/>
      <c r="AK211" s="289">
        <v>0</v>
      </c>
      <c r="AL211" s="290"/>
      <c r="AM211" s="289">
        <v>0</v>
      </c>
      <c r="AN211" s="290"/>
      <c r="AO211" s="289">
        <v>0</v>
      </c>
      <c r="AP211" s="290"/>
      <c r="AQ211" s="289">
        <v>0</v>
      </c>
      <c r="AR211" s="290"/>
      <c r="AS211" s="289">
        <v>0</v>
      </c>
      <c r="AT211" s="290"/>
      <c r="AU211" s="290"/>
      <c r="AV211" s="289">
        <v>0</v>
      </c>
      <c r="AW211" s="290"/>
      <c r="AX211" s="289">
        <v>0</v>
      </c>
      <c r="AY211" s="290"/>
      <c r="AZ211" s="289">
        <v>0</v>
      </c>
      <c r="BA211" s="290"/>
      <c r="BB211" s="289">
        <v>0</v>
      </c>
      <c r="BC211" s="290"/>
      <c r="BD211" s="289">
        <v>0</v>
      </c>
      <c r="BE211" s="290"/>
      <c r="BF211" s="289">
        <v>0</v>
      </c>
      <c r="BG211" s="290"/>
      <c r="BH211" s="289">
        <v>0</v>
      </c>
      <c r="BI211" s="291"/>
      <c r="BJ211" s="292">
        <f t="shared" ref="BJ211:BJ216" si="15">D211+F211+H211+J211+X211+N211+P211+R211+T211+V211+AA211+AC211+AG211+AI211+AK211+AM211+AO211+AQ211+AS211+AV211+AX211+AZ211+BB211+BD211+BH211+BF211+AE211</f>
        <v>0</v>
      </c>
      <c r="BK211" s="298"/>
      <c r="BL211" s="299"/>
      <c r="BM211" s="299"/>
      <c r="BN211" s="300"/>
      <c r="BT211" s="322"/>
      <c r="BU211" s="323"/>
      <c r="BV211" s="324"/>
      <c r="BW211" s="325"/>
    </row>
    <row r="212" spans="1:75" s="301" customFormat="1" ht="23.25" x14ac:dyDescent="0.35">
      <c r="A212" s="269" t="s">
        <v>740</v>
      </c>
      <c r="B212" s="317" t="s">
        <v>739</v>
      </c>
      <c r="C212" s="298"/>
      <c r="D212" s="289">
        <v>0</v>
      </c>
      <c r="E212" s="290"/>
      <c r="F212" s="289">
        <v>0</v>
      </c>
      <c r="G212" s="290"/>
      <c r="H212" s="289">
        <v>0</v>
      </c>
      <c r="I212" s="290"/>
      <c r="J212" s="289">
        <v>0</v>
      </c>
      <c r="K212" s="290"/>
      <c r="L212" s="289">
        <v>0</v>
      </c>
      <c r="M212" s="290"/>
      <c r="N212" s="289">
        <v>0</v>
      </c>
      <c r="O212" s="290"/>
      <c r="P212" s="289">
        <v>0</v>
      </c>
      <c r="Q212" s="290"/>
      <c r="R212" s="289">
        <v>0</v>
      </c>
      <c r="S212" s="290"/>
      <c r="T212" s="289">
        <v>0</v>
      </c>
      <c r="U212" s="290"/>
      <c r="V212" s="289">
        <v>0</v>
      </c>
      <c r="W212" s="290"/>
      <c r="X212" s="289">
        <v>0</v>
      </c>
      <c r="Y212" s="290"/>
      <c r="Z212" s="290"/>
      <c r="AA212" s="289">
        <v>0</v>
      </c>
      <c r="AB212" s="290"/>
      <c r="AC212" s="289">
        <v>0</v>
      </c>
      <c r="AD212" s="290"/>
      <c r="AE212" s="289">
        <v>0</v>
      </c>
      <c r="AF212" s="290"/>
      <c r="AG212" s="289">
        <v>0</v>
      </c>
      <c r="AH212" s="290"/>
      <c r="AI212" s="289">
        <v>0</v>
      </c>
      <c r="AJ212" s="290"/>
      <c r="AK212" s="289">
        <f>'MCS Budget - Detailed'!N1018+'MCS Budget - Detailed'!N1019+'CCS Budget - Detailed'!J365</f>
        <v>232030</v>
      </c>
      <c r="AL212" s="290"/>
      <c r="AM212" s="289">
        <v>0</v>
      </c>
      <c r="AN212" s="290"/>
      <c r="AO212" s="289">
        <v>0</v>
      </c>
      <c r="AP212" s="290"/>
      <c r="AQ212" s="289">
        <v>0</v>
      </c>
      <c r="AR212" s="290"/>
      <c r="AS212" s="289">
        <v>0</v>
      </c>
      <c r="AT212" s="290"/>
      <c r="AU212" s="290"/>
      <c r="AV212" s="289">
        <v>0</v>
      </c>
      <c r="AW212" s="290"/>
      <c r="AX212" s="289">
        <v>0</v>
      </c>
      <c r="AY212" s="290"/>
      <c r="AZ212" s="289">
        <v>0</v>
      </c>
      <c r="BA212" s="290"/>
      <c r="BB212" s="289">
        <v>0</v>
      </c>
      <c r="BC212" s="290"/>
      <c r="BD212" s="289">
        <v>0</v>
      </c>
      <c r="BE212" s="290"/>
      <c r="BF212" s="289">
        <v>0</v>
      </c>
      <c r="BG212" s="290"/>
      <c r="BH212" s="289">
        <v>0</v>
      </c>
      <c r="BI212" s="291"/>
      <c r="BJ212" s="292">
        <f t="shared" si="15"/>
        <v>232030</v>
      </c>
      <c r="BK212" s="298"/>
      <c r="BL212" s="299"/>
      <c r="BM212" s="299"/>
      <c r="BN212" s="300"/>
      <c r="BT212" s="322"/>
      <c r="BU212" s="323"/>
      <c r="BV212" s="324"/>
      <c r="BW212" s="325"/>
    </row>
    <row r="213" spans="1:75" s="301" customFormat="1" ht="37.5" x14ac:dyDescent="0.35">
      <c r="A213" s="269" t="s">
        <v>741</v>
      </c>
      <c r="B213" s="317" t="s">
        <v>739</v>
      </c>
      <c r="C213" s="298"/>
      <c r="D213" s="302">
        <f>'MCS Budget - Detailed'!N848</f>
        <v>1600867</v>
      </c>
      <c r="E213" s="290"/>
      <c r="F213" s="302">
        <f>SUM('CCS Budget - Detailed'!H338)</f>
        <v>754015</v>
      </c>
      <c r="G213" s="290"/>
      <c r="H213" s="302">
        <v>0</v>
      </c>
      <c r="I213" s="290"/>
      <c r="J213" s="302">
        <f>'MCS Budget - Detailed'!N917</f>
        <v>25013</v>
      </c>
      <c r="K213" s="290"/>
      <c r="L213" s="289">
        <v>0</v>
      </c>
      <c r="M213" s="290"/>
      <c r="N213" s="302">
        <f>'MCS Budget - Detailed'!N966</f>
        <v>20099</v>
      </c>
      <c r="O213" s="290"/>
      <c r="P213" s="302">
        <v>0</v>
      </c>
      <c r="Q213" s="290"/>
      <c r="R213" s="302">
        <f>'CCS Budget - Detailed'!J384</f>
        <v>20001</v>
      </c>
      <c r="S213" s="290"/>
      <c r="T213" s="302">
        <v>0</v>
      </c>
      <c r="U213" s="290"/>
      <c r="V213" s="302">
        <v>0</v>
      </c>
      <c r="W213" s="290"/>
      <c r="X213" s="302">
        <v>0</v>
      </c>
      <c r="Y213" s="290"/>
      <c r="Z213" s="290"/>
      <c r="AA213" s="302">
        <v>0</v>
      </c>
      <c r="AB213" s="290"/>
      <c r="AC213" s="302">
        <f>'MCS Budget - Detailed'!N986+'MCS Budget - Detailed'!N993</f>
        <v>581902</v>
      </c>
      <c r="AD213" s="290"/>
      <c r="AE213" s="302">
        <v>0</v>
      </c>
      <c r="AF213" s="290"/>
      <c r="AG213" s="302">
        <v>0</v>
      </c>
      <c r="AH213" s="290"/>
      <c r="AI213" s="302">
        <v>0</v>
      </c>
      <c r="AJ213" s="290"/>
      <c r="AK213" s="302">
        <f>'MCS Budget - Detailed'!N1021+'CCS Budget - Detailed'!J364</f>
        <v>205603</v>
      </c>
      <c r="AL213" s="290"/>
      <c r="AM213" s="302">
        <v>0</v>
      </c>
      <c r="AN213" s="290"/>
      <c r="AO213" s="302">
        <v>0</v>
      </c>
      <c r="AP213" s="290"/>
      <c r="AQ213" s="302">
        <v>0</v>
      </c>
      <c r="AR213" s="290"/>
      <c r="AS213" s="302">
        <v>0</v>
      </c>
      <c r="AT213" s="290"/>
      <c r="AU213" s="290"/>
      <c r="AV213" s="302">
        <v>0</v>
      </c>
      <c r="AW213" s="290"/>
      <c r="AX213" s="302">
        <v>0</v>
      </c>
      <c r="AY213" s="290"/>
      <c r="AZ213" s="302">
        <v>0</v>
      </c>
      <c r="BA213" s="290"/>
      <c r="BB213" s="302">
        <v>0</v>
      </c>
      <c r="BC213" s="290"/>
      <c r="BD213" s="302">
        <v>0</v>
      </c>
      <c r="BE213" s="290"/>
      <c r="BF213" s="302">
        <v>0</v>
      </c>
      <c r="BG213" s="290"/>
      <c r="BH213" s="302">
        <v>0</v>
      </c>
      <c r="BI213" s="291"/>
      <c r="BJ213" s="292">
        <f t="shared" si="15"/>
        <v>3207500</v>
      </c>
      <c r="BK213" s="298"/>
      <c r="BL213" s="299"/>
      <c r="BM213" s="299"/>
      <c r="BN213" s="300"/>
      <c r="BT213" s="322"/>
      <c r="BU213" s="323"/>
      <c r="BV213" s="324"/>
      <c r="BW213" s="325"/>
    </row>
    <row r="214" spans="1:75" s="301" customFormat="1" ht="37.5" x14ac:dyDescent="0.35">
      <c r="A214" s="269" t="s">
        <v>742</v>
      </c>
      <c r="B214" s="317" t="s">
        <v>739</v>
      </c>
      <c r="C214" s="298"/>
      <c r="D214" s="302">
        <v>0</v>
      </c>
      <c r="E214" s="290"/>
      <c r="F214" s="302">
        <v>0</v>
      </c>
      <c r="G214" s="290"/>
      <c r="H214" s="302">
        <v>0</v>
      </c>
      <c r="I214" s="290"/>
      <c r="J214" s="302">
        <v>0</v>
      </c>
      <c r="K214" s="290"/>
      <c r="L214" s="289"/>
      <c r="M214" s="290"/>
      <c r="N214" s="302">
        <v>0</v>
      </c>
      <c r="O214" s="290"/>
      <c r="P214" s="302">
        <v>0</v>
      </c>
      <c r="Q214" s="290"/>
      <c r="R214" s="302">
        <v>0</v>
      </c>
      <c r="S214" s="290"/>
      <c r="T214" s="302">
        <v>0</v>
      </c>
      <c r="U214" s="290"/>
      <c r="V214" s="302">
        <v>0</v>
      </c>
      <c r="W214" s="290"/>
      <c r="X214" s="302">
        <v>0</v>
      </c>
      <c r="Y214" s="290"/>
      <c r="Z214" s="290"/>
      <c r="AA214" s="302">
        <v>0</v>
      </c>
      <c r="AB214" s="290"/>
      <c r="AC214" s="302">
        <v>0</v>
      </c>
      <c r="AD214" s="290"/>
      <c r="AE214" s="302">
        <v>0</v>
      </c>
      <c r="AF214" s="290"/>
      <c r="AG214" s="302">
        <v>0</v>
      </c>
      <c r="AH214" s="290"/>
      <c r="AI214" s="302">
        <v>0</v>
      </c>
      <c r="AJ214" s="290"/>
      <c r="AK214" s="302">
        <v>0</v>
      </c>
      <c r="AL214" s="290"/>
      <c r="AM214" s="302">
        <v>0</v>
      </c>
      <c r="AN214" s="290"/>
      <c r="AO214" s="302">
        <v>0</v>
      </c>
      <c r="AP214" s="290"/>
      <c r="AQ214" s="302">
        <v>0</v>
      </c>
      <c r="AR214" s="290"/>
      <c r="AS214" s="302">
        <v>0</v>
      </c>
      <c r="AT214" s="290"/>
      <c r="AU214" s="290"/>
      <c r="AV214" s="302">
        <v>0</v>
      </c>
      <c r="AW214" s="290"/>
      <c r="AX214" s="302">
        <v>0</v>
      </c>
      <c r="AY214" s="290"/>
      <c r="AZ214" s="302">
        <v>0</v>
      </c>
      <c r="BA214" s="290"/>
      <c r="BB214" s="302">
        <v>0</v>
      </c>
      <c r="BC214" s="290"/>
      <c r="BD214" s="302">
        <v>0</v>
      </c>
      <c r="BE214" s="290"/>
      <c r="BF214" s="302">
        <v>0</v>
      </c>
      <c r="BG214" s="290"/>
      <c r="BH214" s="302">
        <v>0</v>
      </c>
      <c r="BI214" s="291"/>
      <c r="BJ214" s="292">
        <f t="shared" si="15"/>
        <v>0</v>
      </c>
      <c r="BK214" s="298"/>
      <c r="BL214" s="299"/>
      <c r="BM214" s="299"/>
      <c r="BN214" s="300"/>
      <c r="BT214" s="322"/>
      <c r="BU214" s="323"/>
      <c r="BV214" s="324"/>
      <c r="BW214" s="325"/>
    </row>
    <row r="215" spans="1:75" s="301" customFormat="1" ht="37.5" x14ac:dyDescent="0.35">
      <c r="A215" s="269" t="s">
        <v>743</v>
      </c>
      <c r="B215" s="317" t="s">
        <v>739</v>
      </c>
      <c r="C215" s="298"/>
      <c r="D215" s="302">
        <f>'MCS Budget - Detailed'!N850</f>
        <v>85000</v>
      </c>
      <c r="E215" s="290"/>
      <c r="F215" s="302">
        <f>SUM('CCS Budget - Detailed'!H339)</f>
        <v>72246</v>
      </c>
      <c r="G215" s="290"/>
      <c r="H215" s="302">
        <v>0</v>
      </c>
      <c r="I215" s="290"/>
      <c r="J215" s="302">
        <v>0</v>
      </c>
      <c r="K215" s="290"/>
      <c r="L215" s="289">
        <v>0</v>
      </c>
      <c r="M215" s="290"/>
      <c r="N215" s="302">
        <v>0</v>
      </c>
      <c r="O215" s="290"/>
      <c r="P215" s="302">
        <v>0</v>
      </c>
      <c r="Q215" s="290"/>
      <c r="R215" s="302">
        <v>0</v>
      </c>
      <c r="S215" s="290"/>
      <c r="T215" s="302">
        <v>0</v>
      </c>
      <c r="U215" s="290"/>
      <c r="V215" s="302">
        <v>0</v>
      </c>
      <c r="W215" s="290"/>
      <c r="X215" s="302">
        <v>0</v>
      </c>
      <c r="Y215" s="290"/>
      <c r="Z215" s="290"/>
      <c r="AA215" s="302">
        <v>0</v>
      </c>
      <c r="AB215" s="290"/>
      <c r="AC215" s="302">
        <v>0</v>
      </c>
      <c r="AD215" s="290"/>
      <c r="AE215" s="302">
        <v>0</v>
      </c>
      <c r="AF215" s="290"/>
      <c r="AG215" s="302">
        <v>0</v>
      </c>
      <c r="AH215" s="290"/>
      <c r="AI215" s="302">
        <v>0</v>
      </c>
      <c r="AJ215" s="290"/>
      <c r="AK215" s="302">
        <v>0</v>
      </c>
      <c r="AL215" s="290"/>
      <c r="AM215" s="302">
        <v>0</v>
      </c>
      <c r="AN215" s="290"/>
      <c r="AO215" s="302">
        <v>0</v>
      </c>
      <c r="AP215" s="290"/>
      <c r="AQ215" s="302">
        <v>0</v>
      </c>
      <c r="AR215" s="290"/>
      <c r="AS215" s="302">
        <v>0</v>
      </c>
      <c r="AT215" s="290"/>
      <c r="AU215" s="290"/>
      <c r="AV215" s="302">
        <v>0</v>
      </c>
      <c r="AW215" s="290"/>
      <c r="AX215" s="302">
        <v>0</v>
      </c>
      <c r="AY215" s="290"/>
      <c r="AZ215" s="302">
        <v>0</v>
      </c>
      <c r="BA215" s="290"/>
      <c r="BB215" s="302">
        <v>0</v>
      </c>
      <c r="BC215" s="290"/>
      <c r="BD215" s="302">
        <v>0</v>
      </c>
      <c r="BE215" s="290"/>
      <c r="BF215" s="302">
        <v>0</v>
      </c>
      <c r="BG215" s="290"/>
      <c r="BH215" s="302">
        <v>0</v>
      </c>
      <c r="BI215" s="291"/>
      <c r="BJ215" s="292">
        <f t="shared" si="15"/>
        <v>157246</v>
      </c>
      <c r="BK215" s="298"/>
      <c r="BL215" s="299"/>
      <c r="BM215" s="299"/>
      <c r="BN215" s="300"/>
      <c r="BT215" s="322"/>
      <c r="BU215" s="323"/>
      <c r="BV215" s="324"/>
      <c r="BW215" s="325"/>
    </row>
    <row r="216" spans="1:75" s="301" customFormat="1" ht="36.75" thickBot="1" x14ac:dyDescent="0.3">
      <c r="A216" s="269" t="s">
        <v>744</v>
      </c>
      <c r="B216" s="317" t="s">
        <v>739</v>
      </c>
      <c r="C216" s="291"/>
      <c r="D216" s="302">
        <v>0</v>
      </c>
      <c r="E216" s="290"/>
      <c r="F216" s="302">
        <v>0</v>
      </c>
      <c r="G216" s="290"/>
      <c r="H216" s="302">
        <v>0</v>
      </c>
      <c r="I216" s="290"/>
      <c r="J216" s="302">
        <v>0</v>
      </c>
      <c r="K216" s="290"/>
      <c r="L216" s="289">
        <v>0</v>
      </c>
      <c r="M216" s="290"/>
      <c r="N216" s="302">
        <v>0</v>
      </c>
      <c r="O216" s="290"/>
      <c r="P216" s="302">
        <v>0</v>
      </c>
      <c r="Q216" s="290"/>
      <c r="R216" s="302">
        <v>0</v>
      </c>
      <c r="S216" s="290"/>
      <c r="T216" s="302">
        <v>0</v>
      </c>
      <c r="U216" s="290"/>
      <c r="V216" s="302">
        <v>0</v>
      </c>
      <c r="W216" s="290"/>
      <c r="X216" s="302">
        <v>0</v>
      </c>
      <c r="Y216" s="290"/>
      <c r="Z216" s="290"/>
      <c r="AA216" s="302">
        <v>0</v>
      </c>
      <c r="AB216" s="290"/>
      <c r="AC216" s="302">
        <v>0</v>
      </c>
      <c r="AD216" s="290"/>
      <c r="AE216" s="302">
        <v>0</v>
      </c>
      <c r="AF216" s="290"/>
      <c r="AG216" s="302">
        <v>0</v>
      </c>
      <c r="AH216" s="290"/>
      <c r="AI216" s="302">
        <v>0</v>
      </c>
      <c r="AJ216" s="290"/>
      <c r="AK216" s="302">
        <v>0</v>
      </c>
      <c r="AL216" s="290"/>
      <c r="AM216" s="302">
        <v>0</v>
      </c>
      <c r="AN216" s="290"/>
      <c r="AO216" s="302">
        <v>0</v>
      </c>
      <c r="AP216" s="290"/>
      <c r="AQ216" s="302">
        <v>0</v>
      </c>
      <c r="AR216" s="290"/>
      <c r="AS216" s="302">
        <v>0</v>
      </c>
      <c r="AT216" s="290"/>
      <c r="AU216" s="290"/>
      <c r="AV216" s="302">
        <v>0</v>
      </c>
      <c r="AW216" s="290"/>
      <c r="AX216" s="302">
        <v>0</v>
      </c>
      <c r="AY216" s="290"/>
      <c r="AZ216" s="302">
        <v>0</v>
      </c>
      <c r="BA216" s="290"/>
      <c r="BB216" s="302">
        <v>0</v>
      </c>
      <c r="BC216" s="290"/>
      <c r="BD216" s="302">
        <v>0</v>
      </c>
      <c r="BE216" s="290"/>
      <c r="BF216" s="302">
        <v>0</v>
      </c>
      <c r="BG216" s="290"/>
      <c r="BH216" s="302">
        <v>0</v>
      </c>
      <c r="BI216" s="291"/>
      <c r="BJ216" s="292">
        <f t="shared" si="15"/>
        <v>0</v>
      </c>
      <c r="BK216" s="291"/>
      <c r="BL216" s="299"/>
      <c r="BM216" s="299"/>
      <c r="BN216" s="300"/>
    </row>
    <row r="217" spans="1:75" s="301" customFormat="1" ht="18.75" thickBot="1" x14ac:dyDescent="0.3">
      <c r="A217" s="303" t="s">
        <v>745</v>
      </c>
      <c r="B217" s="312"/>
      <c r="C217" s="307"/>
      <c r="D217" s="306">
        <f>SUM(D211:D216)</f>
        <v>1685867</v>
      </c>
      <c r="E217" s="307"/>
      <c r="F217" s="306">
        <f>SUM(F211:F216)</f>
        <v>826261</v>
      </c>
      <c r="G217" s="307"/>
      <c r="H217" s="306">
        <f>SUM(H211:H216)</f>
        <v>0</v>
      </c>
      <c r="I217" s="307"/>
      <c r="J217" s="306">
        <f>SUM(J211:J216)</f>
        <v>25013</v>
      </c>
      <c r="K217" s="307"/>
      <c r="L217" s="306">
        <f>SUM(L211:L216)</f>
        <v>0</v>
      </c>
      <c r="M217" s="307"/>
      <c r="N217" s="306">
        <f>SUM(N211:N216)</f>
        <v>20099</v>
      </c>
      <c r="O217" s="307"/>
      <c r="P217" s="306">
        <f>SUM(P211:P216)</f>
        <v>0</v>
      </c>
      <c r="Q217" s="307"/>
      <c r="R217" s="306">
        <f>SUM(R211:R216)</f>
        <v>20001</v>
      </c>
      <c r="S217" s="307"/>
      <c r="T217" s="306">
        <f>SUM(T211:T216)</f>
        <v>0</v>
      </c>
      <c r="U217" s="307"/>
      <c r="V217" s="306">
        <f>SUM(V211:V216)</f>
        <v>0</v>
      </c>
      <c r="W217" s="307"/>
      <c r="X217" s="306">
        <f>SUM(X211:X216)</f>
        <v>0</v>
      </c>
      <c r="Y217" s="307"/>
      <c r="Z217" s="307"/>
      <c r="AA217" s="306">
        <f>SUM(AA211:AA216)</f>
        <v>0</v>
      </c>
      <c r="AB217" s="307"/>
      <c r="AC217" s="306">
        <f>SUM(AC211:AC216)</f>
        <v>581902</v>
      </c>
      <c r="AD217" s="307"/>
      <c r="AE217" s="306">
        <f>SUM(AE211:AE216)</f>
        <v>0</v>
      </c>
      <c r="AF217" s="307"/>
      <c r="AG217" s="306">
        <f>SUM(AG211:AG216)</f>
        <v>0</v>
      </c>
      <c r="AH217" s="307"/>
      <c r="AI217" s="306">
        <f>SUM(AI211:AI216)</f>
        <v>0</v>
      </c>
      <c r="AJ217" s="307"/>
      <c r="AK217" s="306">
        <f>SUM(AK211:AK216)</f>
        <v>437633</v>
      </c>
      <c r="AL217" s="307"/>
      <c r="AM217" s="306">
        <f>SUM(AM211:AM216)</f>
        <v>0</v>
      </c>
      <c r="AN217" s="307"/>
      <c r="AO217" s="306">
        <f>SUM(AO211:AO216)</f>
        <v>0</v>
      </c>
      <c r="AP217" s="307"/>
      <c r="AQ217" s="306">
        <f>SUM(AQ211:AQ216)</f>
        <v>0</v>
      </c>
      <c r="AR217" s="307"/>
      <c r="AS217" s="306">
        <f>SUM(AS211:AS216)</f>
        <v>0</v>
      </c>
      <c r="AT217" s="307"/>
      <c r="AU217" s="307"/>
      <c r="AV217" s="306">
        <f>SUM(AV211:AV216)</f>
        <v>0</v>
      </c>
      <c r="AW217" s="307"/>
      <c r="AX217" s="306">
        <f>SUM(AX211:AX216)</f>
        <v>0</v>
      </c>
      <c r="AY217" s="307"/>
      <c r="AZ217" s="306">
        <f>SUM(AZ211:AZ216)</f>
        <v>0</v>
      </c>
      <c r="BA217" s="307"/>
      <c r="BB217" s="306">
        <f>SUM(BB211:BB216)</f>
        <v>0</v>
      </c>
      <c r="BC217" s="307"/>
      <c r="BD217" s="306">
        <f>SUM(BD211:BD216)</f>
        <v>0</v>
      </c>
      <c r="BE217" s="307"/>
      <c r="BF217" s="306">
        <f>SUM(BF211:BF216)</f>
        <v>0</v>
      </c>
      <c r="BG217" s="307"/>
      <c r="BH217" s="306">
        <f>SUM(BH211:BH216)</f>
        <v>0</v>
      </c>
      <c r="BI217" s="307"/>
      <c r="BJ217" s="306">
        <f>D217+F217+H217+J217+X217+N217+P217+R217+T217+V217+AA217+AC217+AG217+AI217+AK217+AM217+AO217+AQ217+AS217+AV217+AX217+AZ217+BB217+BD217+BH217+BF217+AE217</f>
        <v>3596776</v>
      </c>
      <c r="BK217" s="307"/>
      <c r="BL217" s="308"/>
      <c r="BM217" s="308"/>
      <c r="BN217" s="300"/>
    </row>
    <row r="218" spans="1:75" s="301" customFormat="1" ht="18.75" thickBot="1" x14ac:dyDescent="0.3">
      <c r="A218" s="268"/>
      <c r="B218" s="294"/>
      <c r="C218" s="321"/>
      <c r="D218" s="292"/>
      <c r="E218" s="291"/>
      <c r="F218" s="292"/>
      <c r="G218" s="291"/>
      <c r="H218" s="292"/>
      <c r="I218" s="291"/>
      <c r="J218" s="292"/>
      <c r="K218" s="291"/>
      <c r="L218" s="309"/>
      <c r="M218" s="291"/>
      <c r="N218" s="292"/>
      <c r="O218" s="291"/>
      <c r="P218" s="292"/>
      <c r="Q218" s="291"/>
      <c r="R218" s="292"/>
      <c r="S218" s="291"/>
      <c r="T218" s="292"/>
      <c r="U218" s="291"/>
      <c r="V218" s="292"/>
      <c r="W218" s="291"/>
      <c r="X218" s="292"/>
      <c r="Y218" s="291"/>
      <c r="Z218" s="291"/>
      <c r="AA218" s="292"/>
      <c r="AB218" s="291"/>
      <c r="AC218" s="292"/>
      <c r="AD218" s="291"/>
      <c r="AE218" s="292"/>
      <c r="AF218" s="291"/>
      <c r="AG218" s="292"/>
      <c r="AH218" s="291"/>
      <c r="AI218" s="292"/>
      <c r="AJ218" s="291"/>
      <c r="AK218" s="292"/>
      <c r="AL218" s="291"/>
      <c r="AM218" s="292"/>
      <c r="AN218" s="291"/>
      <c r="AO218" s="292"/>
      <c r="AP218" s="291"/>
      <c r="AQ218" s="292"/>
      <c r="AR218" s="291"/>
      <c r="AS218" s="292"/>
      <c r="AT218" s="291"/>
      <c r="AU218" s="291"/>
      <c r="AV218" s="292"/>
      <c r="AW218" s="291"/>
      <c r="AX218" s="292"/>
      <c r="AY218" s="291"/>
      <c r="AZ218" s="292"/>
      <c r="BA218" s="291"/>
      <c r="BB218" s="292"/>
      <c r="BC218" s="291"/>
      <c r="BD218" s="292"/>
      <c r="BE218" s="291"/>
      <c r="BF218" s="292"/>
      <c r="BG218" s="291"/>
      <c r="BH218" s="292"/>
      <c r="BI218" s="291"/>
      <c r="BJ218" s="292"/>
      <c r="BK218" s="321"/>
      <c r="BL218" s="299"/>
      <c r="BM218" s="299"/>
      <c r="BN218" s="300"/>
    </row>
    <row r="219" spans="1:75" s="301" customFormat="1" ht="36.75" thickBot="1" x14ac:dyDescent="0.3">
      <c r="A219" s="303" t="s">
        <v>746</v>
      </c>
      <c r="B219" s="312"/>
      <c r="C219" s="307"/>
      <c r="D219" s="306">
        <f>D208+D217</f>
        <v>4700525</v>
      </c>
      <c r="E219" s="307"/>
      <c r="F219" s="306">
        <f>F208+F217</f>
        <v>2239734</v>
      </c>
      <c r="G219" s="307"/>
      <c r="H219" s="306">
        <f>H208+H217</f>
        <v>0</v>
      </c>
      <c r="I219" s="307"/>
      <c r="J219" s="306">
        <f>J208+J217</f>
        <v>201151</v>
      </c>
      <c r="K219" s="307"/>
      <c r="L219" s="306">
        <f>L208+L217</f>
        <v>0</v>
      </c>
      <c r="M219" s="307"/>
      <c r="N219" s="306">
        <f>N208+N217</f>
        <v>173297</v>
      </c>
      <c r="O219" s="307"/>
      <c r="P219" s="306">
        <f>P208+P217</f>
        <v>0</v>
      </c>
      <c r="Q219" s="307"/>
      <c r="R219" s="306">
        <f>R208+R217</f>
        <v>222244</v>
      </c>
      <c r="S219" s="307"/>
      <c r="T219" s="306">
        <f>T208+T217</f>
        <v>0</v>
      </c>
      <c r="U219" s="307"/>
      <c r="V219" s="306">
        <f>V208+V217</f>
        <v>0</v>
      </c>
      <c r="W219" s="307"/>
      <c r="X219" s="306">
        <f>X208+X217</f>
        <v>0</v>
      </c>
      <c r="Y219" s="307"/>
      <c r="Z219" s="307"/>
      <c r="AA219" s="306">
        <f>AA208+AA217</f>
        <v>0</v>
      </c>
      <c r="AB219" s="307"/>
      <c r="AC219" s="306">
        <f>AC208+AC217</f>
        <v>973199</v>
      </c>
      <c r="AD219" s="307"/>
      <c r="AE219" s="306">
        <f>AE208+AE217</f>
        <v>0</v>
      </c>
      <c r="AF219" s="307"/>
      <c r="AG219" s="306">
        <f>AG208+AG217</f>
        <v>0</v>
      </c>
      <c r="AH219" s="307"/>
      <c r="AI219" s="306">
        <f>AI208+AI217</f>
        <v>0</v>
      </c>
      <c r="AJ219" s="307"/>
      <c r="AK219" s="306">
        <f>AK208+AK217</f>
        <v>691098</v>
      </c>
      <c r="AL219" s="307"/>
      <c r="AM219" s="306">
        <f>AM208+AM217</f>
        <v>0</v>
      </c>
      <c r="AN219" s="307"/>
      <c r="AO219" s="306">
        <f>AO208+AO217</f>
        <v>0</v>
      </c>
      <c r="AP219" s="307"/>
      <c r="AQ219" s="306">
        <f>AQ208+AQ217</f>
        <v>0</v>
      </c>
      <c r="AR219" s="307"/>
      <c r="AS219" s="306">
        <f>AS208+AS217</f>
        <v>0</v>
      </c>
      <c r="AT219" s="307"/>
      <c r="AU219" s="307"/>
      <c r="AV219" s="306">
        <f>AV208+AV217</f>
        <v>0</v>
      </c>
      <c r="AW219" s="307"/>
      <c r="AX219" s="306">
        <f>AX208+AX217</f>
        <v>0</v>
      </c>
      <c r="AY219" s="307"/>
      <c r="AZ219" s="306">
        <f>AZ208+AZ217</f>
        <v>0</v>
      </c>
      <c r="BA219" s="307"/>
      <c r="BB219" s="306">
        <f>BB208+BB217</f>
        <v>0</v>
      </c>
      <c r="BC219" s="307"/>
      <c r="BD219" s="306">
        <f>BD208+BD217</f>
        <v>0</v>
      </c>
      <c r="BE219" s="307"/>
      <c r="BF219" s="306">
        <f>BF208+BF217</f>
        <v>0</v>
      </c>
      <c r="BG219" s="307"/>
      <c r="BH219" s="306">
        <f>BH208+BH217</f>
        <v>0</v>
      </c>
      <c r="BI219" s="307"/>
      <c r="BJ219" s="306">
        <f>D219+F219+H219+J219+X219+N219+P219+R219+T219+V219+AA219+AC219+AG219+AI219+AK219+AM219+AO219+AQ219+AS219+AV219+AX219+AZ219+BB219+BD219+BH219+BF219+AE219</f>
        <v>9201248</v>
      </c>
      <c r="BK219" s="307"/>
      <c r="BL219" s="308"/>
      <c r="BM219" s="308"/>
      <c r="BN219" s="300"/>
    </row>
    <row r="220" spans="1:75" s="301" customFormat="1" ht="18" x14ac:dyDescent="0.25">
      <c r="A220" s="268"/>
      <c r="B220" s="294"/>
      <c r="C220" s="293"/>
      <c r="D220" s="292"/>
      <c r="E220" s="291"/>
      <c r="F220" s="292"/>
      <c r="G220" s="291"/>
      <c r="H220" s="292"/>
      <c r="I220" s="291"/>
      <c r="J220" s="292"/>
      <c r="K220" s="291"/>
      <c r="L220" s="309"/>
      <c r="M220" s="291"/>
      <c r="N220" s="292"/>
      <c r="O220" s="291"/>
      <c r="P220" s="292"/>
      <c r="Q220" s="291"/>
      <c r="R220" s="292"/>
      <c r="S220" s="291"/>
      <c r="T220" s="292"/>
      <c r="U220" s="291"/>
      <c r="V220" s="292"/>
      <c r="W220" s="291"/>
      <c r="X220" s="292"/>
      <c r="Y220" s="291"/>
      <c r="Z220" s="291"/>
      <c r="AA220" s="292"/>
      <c r="AB220" s="291"/>
      <c r="AC220" s="292"/>
      <c r="AD220" s="291"/>
      <c r="AE220" s="292"/>
      <c r="AF220" s="291"/>
      <c r="AG220" s="292"/>
      <c r="AH220" s="291"/>
      <c r="AI220" s="292"/>
      <c r="AJ220" s="291"/>
      <c r="AK220" s="292"/>
      <c r="AL220" s="291"/>
      <c r="AM220" s="292"/>
      <c r="AN220" s="291"/>
      <c r="AO220" s="292"/>
      <c r="AP220" s="291"/>
      <c r="AQ220" s="292"/>
      <c r="AR220" s="291"/>
      <c r="AS220" s="292"/>
      <c r="AT220" s="291"/>
      <c r="AU220" s="291"/>
      <c r="AV220" s="292"/>
      <c r="AW220" s="291"/>
      <c r="AX220" s="292"/>
      <c r="AY220" s="291"/>
      <c r="AZ220" s="292"/>
      <c r="BA220" s="291"/>
      <c r="BB220" s="292"/>
      <c r="BC220" s="291"/>
      <c r="BD220" s="292"/>
      <c r="BE220" s="291"/>
      <c r="BF220" s="292"/>
      <c r="BG220" s="291"/>
      <c r="BH220" s="292"/>
      <c r="BI220" s="291"/>
      <c r="BJ220" s="292"/>
      <c r="BK220" s="293"/>
      <c r="BL220" s="299"/>
      <c r="BM220" s="299"/>
      <c r="BN220" s="300"/>
    </row>
    <row r="221" spans="1:75" s="301" customFormat="1" ht="36" x14ac:dyDescent="0.25">
      <c r="A221" s="268" t="s">
        <v>747</v>
      </c>
      <c r="B221" s="294"/>
      <c r="C221" s="293"/>
      <c r="D221" s="302">
        <v>0</v>
      </c>
      <c r="E221" s="290"/>
      <c r="F221" s="302">
        <v>0</v>
      </c>
      <c r="G221" s="290"/>
      <c r="H221" s="302">
        <v>0</v>
      </c>
      <c r="I221" s="290"/>
      <c r="J221" s="302">
        <v>0</v>
      </c>
      <c r="K221" s="290"/>
      <c r="L221" s="289">
        <v>0</v>
      </c>
      <c r="M221" s="290"/>
      <c r="N221" s="302">
        <v>0</v>
      </c>
      <c r="O221" s="290"/>
      <c r="P221" s="302">
        <v>0</v>
      </c>
      <c r="Q221" s="290"/>
      <c r="R221" s="302">
        <v>0</v>
      </c>
      <c r="S221" s="290"/>
      <c r="T221" s="302">
        <v>0</v>
      </c>
      <c r="U221" s="290"/>
      <c r="V221" s="302">
        <v>0</v>
      </c>
      <c r="W221" s="290"/>
      <c r="X221" s="302">
        <v>0</v>
      </c>
      <c r="Y221" s="290"/>
      <c r="Z221" s="290"/>
      <c r="AA221" s="302">
        <v>0</v>
      </c>
      <c r="AB221" s="290"/>
      <c r="AC221" s="302">
        <v>0</v>
      </c>
      <c r="AD221" s="290"/>
      <c r="AE221" s="302">
        <v>0</v>
      </c>
      <c r="AF221" s="290"/>
      <c r="AG221" s="302">
        <v>0</v>
      </c>
      <c r="AH221" s="290"/>
      <c r="AI221" s="302">
        <v>0</v>
      </c>
      <c r="AJ221" s="290"/>
      <c r="AK221" s="302">
        <v>0</v>
      </c>
      <c r="AL221" s="290"/>
      <c r="AM221" s="302">
        <v>0</v>
      </c>
      <c r="AN221" s="290"/>
      <c r="AO221" s="302">
        <v>0</v>
      </c>
      <c r="AP221" s="290"/>
      <c r="AQ221" s="302">
        <v>0</v>
      </c>
      <c r="AR221" s="290"/>
      <c r="AS221" s="302">
        <v>0</v>
      </c>
      <c r="AT221" s="290"/>
      <c r="AU221" s="290"/>
      <c r="AV221" s="302">
        <v>0</v>
      </c>
      <c r="AW221" s="290"/>
      <c r="AX221" s="302">
        <v>0</v>
      </c>
      <c r="AY221" s="290"/>
      <c r="AZ221" s="302">
        <v>0</v>
      </c>
      <c r="BA221" s="290"/>
      <c r="BB221" s="302">
        <v>0</v>
      </c>
      <c r="BC221" s="290"/>
      <c r="BD221" s="302">
        <v>0</v>
      </c>
      <c r="BE221" s="290"/>
      <c r="BF221" s="302">
        <v>0</v>
      </c>
      <c r="BG221" s="290"/>
      <c r="BH221" s="302">
        <v>0</v>
      </c>
      <c r="BI221" s="291"/>
      <c r="BJ221" s="292">
        <f>D221+F221+H221+J221+X221+N221+P221+R221+T221+V221+AA221+AC221+AG221+AI221+AK221+AM221+AO221+AQ221+AS221+AV221+AX221+AZ221+BB221+BD221+BH221+BF221+AE221</f>
        <v>0</v>
      </c>
      <c r="BK221" s="293"/>
      <c r="BL221" s="299"/>
      <c r="BM221" s="299"/>
      <c r="BN221" s="300"/>
    </row>
    <row r="222" spans="1:75" s="301" customFormat="1" ht="18.75" thickBot="1" x14ac:dyDescent="0.3">
      <c r="A222" s="269"/>
      <c r="B222" s="315"/>
      <c r="C222" s="321"/>
      <c r="D222" s="309"/>
      <c r="E222" s="291"/>
      <c r="F222" s="309"/>
      <c r="G222" s="291"/>
      <c r="H222" s="309"/>
      <c r="I222" s="291"/>
      <c r="J222" s="309"/>
      <c r="K222" s="291"/>
      <c r="L222" s="309"/>
      <c r="M222" s="291"/>
      <c r="N222" s="309"/>
      <c r="O222" s="291"/>
      <c r="P222" s="309"/>
      <c r="Q222" s="291"/>
      <c r="R222" s="309"/>
      <c r="S222" s="291"/>
      <c r="T222" s="309"/>
      <c r="U222" s="291"/>
      <c r="V222" s="309"/>
      <c r="W222" s="291"/>
      <c r="X222" s="309"/>
      <c r="Y222" s="291"/>
      <c r="Z222" s="291"/>
      <c r="AA222" s="309"/>
      <c r="AB222" s="291"/>
      <c r="AC222" s="309"/>
      <c r="AD222" s="291"/>
      <c r="AE222" s="309"/>
      <c r="AF222" s="291"/>
      <c r="AG222" s="309"/>
      <c r="AH222" s="291"/>
      <c r="AI222" s="309"/>
      <c r="AJ222" s="291"/>
      <c r="AK222" s="309"/>
      <c r="AL222" s="291"/>
      <c r="AM222" s="309"/>
      <c r="AN222" s="291"/>
      <c r="AO222" s="309"/>
      <c r="AP222" s="291"/>
      <c r="AQ222" s="309"/>
      <c r="AR222" s="291"/>
      <c r="AS222" s="309"/>
      <c r="AT222" s="291"/>
      <c r="AU222" s="291"/>
      <c r="AV222" s="309"/>
      <c r="AW222" s="291"/>
      <c r="AX222" s="309"/>
      <c r="AY222" s="291"/>
      <c r="AZ222" s="309"/>
      <c r="BA222" s="291"/>
      <c r="BB222" s="309"/>
      <c r="BC222" s="291"/>
      <c r="BD222" s="309"/>
      <c r="BE222" s="291"/>
      <c r="BF222" s="309"/>
      <c r="BG222" s="291"/>
      <c r="BH222" s="309"/>
      <c r="BI222" s="291"/>
      <c r="BJ222" s="292"/>
      <c r="BK222" s="321"/>
      <c r="BL222" s="326"/>
      <c r="BM222" s="326"/>
    </row>
    <row r="223" spans="1:75" s="301" customFormat="1" ht="90.75" thickBot="1" x14ac:dyDescent="0.3">
      <c r="A223" s="303" t="s">
        <v>748</v>
      </c>
      <c r="B223" s="312"/>
      <c r="C223" s="307"/>
      <c r="D223" s="306">
        <f>D29-D219-D221</f>
        <v>0</v>
      </c>
      <c r="E223" s="307"/>
      <c r="F223" s="483">
        <f>F29-F219-F221</f>
        <v>0</v>
      </c>
      <c r="G223" s="307"/>
      <c r="H223" s="306">
        <f>H29-H219-H221</f>
        <v>0</v>
      </c>
      <c r="I223" s="307"/>
      <c r="J223" s="306">
        <f>J29-J219-J221</f>
        <v>0</v>
      </c>
      <c r="K223" s="307"/>
      <c r="L223" s="306">
        <f>L29-L219-L221</f>
        <v>0</v>
      </c>
      <c r="M223" s="307"/>
      <c r="N223" s="306">
        <f>N29-N219-N221</f>
        <v>0</v>
      </c>
      <c r="O223" s="307"/>
      <c r="P223" s="306">
        <f>P29-P219-P221</f>
        <v>0</v>
      </c>
      <c r="Q223" s="307"/>
      <c r="R223" s="306">
        <f>R29-R219-R221</f>
        <v>0</v>
      </c>
      <c r="S223" s="307"/>
      <c r="T223" s="306">
        <f>T29-T219-T221</f>
        <v>0</v>
      </c>
      <c r="U223" s="307"/>
      <c r="V223" s="306">
        <f>V29-V219-V221</f>
        <v>0</v>
      </c>
      <c r="W223" s="307"/>
      <c r="X223" s="306">
        <f>X29-X219-X221</f>
        <v>0</v>
      </c>
      <c r="Y223" s="307"/>
      <c r="Z223" s="307"/>
      <c r="AA223" s="306">
        <f>AA29-AA219-AA221</f>
        <v>0</v>
      </c>
      <c r="AB223" s="307"/>
      <c r="AC223" s="306">
        <f>AC29-AC219-AC221</f>
        <v>0</v>
      </c>
      <c r="AD223" s="307"/>
      <c r="AE223" s="306">
        <f>AE29-AE219-AE221</f>
        <v>0</v>
      </c>
      <c r="AF223" s="307"/>
      <c r="AG223" s="306">
        <f>AG29-AG219-AG221</f>
        <v>0</v>
      </c>
      <c r="AH223" s="307"/>
      <c r="AI223" s="306">
        <f>AI29-AI219-AI221</f>
        <v>0</v>
      </c>
      <c r="AJ223" s="307"/>
      <c r="AK223" s="306">
        <f>AK29-AK219-AK221</f>
        <v>0</v>
      </c>
      <c r="AL223" s="307"/>
      <c r="AM223" s="306">
        <f>AM29-AM219-AM221</f>
        <v>0</v>
      </c>
      <c r="AN223" s="307"/>
      <c r="AO223" s="306">
        <f>AO29-AO219-AO221</f>
        <v>0</v>
      </c>
      <c r="AP223" s="307"/>
      <c r="AQ223" s="306">
        <f>AQ29-AQ219-AQ221</f>
        <v>0</v>
      </c>
      <c r="AR223" s="307"/>
      <c r="AS223" s="306">
        <f>AS29-AS219-AS221</f>
        <v>0</v>
      </c>
      <c r="AT223" s="307"/>
      <c r="AU223" s="307"/>
      <c r="AV223" s="306">
        <f>AV29-AV219-AV221</f>
        <v>0</v>
      </c>
      <c r="AW223" s="307"/>
      <c r="AX223" s="306">
        <f>AX29-AX219-AX221</f>
        <v>0</v>
      </c>
      <c r="AY223" s="307"/>
      <c r="AZ223" s="306">
        <f>AZ29-AZ219-AZ221</f>
        <v>0</v>
      </c>
      <c r="BA223" s="307"/>
      <c r="BB223" s="306">
        <f>BB29-BB219-BB221</f>
        <v>0</v>
      </c>
      <c r="BC223" s="307"/>
      <c r="BD223" s="306">
        <f>BD29-BD219-BD221</f>
        <v>0</v>
      </c>
      <c r="BE223" s="307"/>
      <c r="BF223" s="306">
        <f>BF29-BF219-BF221</f>
        <v>0</v>
      </c>
      <c r="BG223" s="307"/>
      <c r="BH223" s="306">
        <f>BH29-BH219-BH221</f>
        <v>0</v>
      </c>
      <c r="BI223" s="307"/>
      <c r="BJ223" s="483">
        <f>D223+F223+H223+J223+X223+N223+P223+R223+T223+V223+AA223+AC223+AG223+AI223+AK223+AM223+AO223+AQ223+AS223+AV223+AX223+AZ223+BB223+BD223+BH223+BF223+AE223</f>
        <v>0</v>
      </c>
      <c r="BK223" s="307"/>
      <c r="BL223" s="327"/>
      <c r="BM223" s="327"/>
    </row>
  </sheetData>
  <pageMargins left="0.7" right="0.7" top="0.75" bottom="0.75" header="0.3" footer="0.3"/>
  <pageSetup scale="36" fitToHeight="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1"/>
  <sheetViews>
    <sheetView zoomScale="145" zoomScaleNormal="145" workbookViewId="0">
      <selection activeCell="E1018" sqref="E1018"/>
    </sheetView>
  </sheetViews>
  <sheetFormatPr defaultColWidth="13.42578125" defaultRowHeight="11.25" x14ac:dyDescent="0.2"/>
  <cols>
    <col min="1" max="1" width="10.28515625" style="496" bestFit="1" customWidth="1"/>
    <col min="2" max="2" width="16.7109375" style="496" bestFit="1" customWidth="1"/>
    <col min="3" max="3" width="17.5703125" style="496" bestFit="1" customWidth="1"/>
    <col min="4" max="4" width="23.7109375" style="496" customWidth="1"/>
    <col min="5" max="5" width="26" style="496" customWidth="1"/>
    <col min="6" max="6" width="11.85546875" style="503" customWidth="1"/>
    <col min="7" max="7" width="18.140625" style="497" bestFit="1" customWidth="1"/>
    <col min="8" max="8" width="12" style="497" bestFit="1" customWidth="1"/>
    <col min="9" max="256" width="13.42578125" style="497"/>
    <col min="257" max="257" width="10.28515625" style="497" bestFit="1" customWidth="1"/>
    <col min="258" max="258" width="16.7109375" style="497" bestFit="1" customWidth="1"/>
    <col min="259" max="259" width="17.5703125" style="497" bestFit="1" customWidth="1"/>
    <col min="260" max="260" width="23.7109375" style="497" customWidth="1"/>
    <col min="261" max="261" width="26" style="497" customWidth="1"/>
    <col min="262" max="262" width="8" style="497" bestFit="1" customWidth="1"/>
    <col min="263" max="263" width="18.140625" style="497" bestFit="1" customWidth="1"/>
    <col min="264" max="264" width="10.5703125" style="497" bestFit="1" customWidth="1"/>
    <col min="265" max="512" width="13.42578125" style="497"/>
    <col min="513" max="513" width="10.28515625" style="497" bestFit="1" customWidth="1"/>
    <col min="514" max="514" width="16.7109375" style="497" bestFit="1" customWidth="1"/>
    <col min="515" max="515" width="17.5703125" style="497" bestFit="1" customWidth="1"/>
    <col min="516" max="516" width="23.7109375" style="497" customWidth="1"/>
    <col min="517" max="517" width="26" style="497" customWidth="1"/>
    <col min="518" max="518" width="8" style="497" bestFit="1" customWidth="1"/>
    <col min="519" max="519" width="18.140625" style="497" bestFit="1" customWidth="1"/>
    <col min="520" max="520" width="10.5703125" style="497" bestFit="1" customWidth="1"/>
    <col min="521" max="768" width="13.42578125" style="497"/>
    <col min="769" max="769" width="10.28515625" style="497" bestFit="1" customWidth="1"/>
    <col min="770" max="770" width="16.7109375" style="497" bestFit="1" customWidth="1"/>
    <col min="771" max="771" width="17.5703125" style="497" bestFit="1" customWidth="1"/>
    <col min="772" max="772" width="23.7109375" style="497" customWidth="1"/>
    <col min="773" max="773" width="26" style="497" customWidth="1"/>
    <col min="774" max="774" width="8" style="497" bestFit="1" customWidth="1"/>
    <col min="775" max="775" width="18.140625" style="497" bestFit="1" customWidth="1"/>
    <col min="776" max="776" width="10.5703125" style="497" bestFit="1" customWidth="1"/>
    <col min="777" max="1024" width="13.42578125" style="497"/>
    <col min="1025" max="1025" width="10.28515625" style="497" bestFit="1" customWidth="1"/>
    <col min="1026" max="1026" width="16.7109375" style="497" bestFit="1" customWidth="1"/>
    <col min="1027" max="1027" width="17.5703125" style="497" bestFit="1" customWidth="1"/>
    <col min="1028" max="1028" width="23.7109375" style="497" customWidth="1"/>
    <col min="1029" max="1029" width="26" style="497" customWidth="1"/>
    <col min="1030" max="1030" width="8" style="497" bestFit="1" customWidth="1"/>
    <col min="1031" max="1031" width="18.140625" style="497" bestFit="1" customWidth="1"/>
    <col min="1032" max="1032" width="10.5703125" style="497" bestFit="1" customWidth="1"/>
    <col min="1033" max="1280" width="13.42578125" style="497"/>
    <col min="1281" max="1281" width="10.28515625" style="497" bestFit="1" customWidth="1"/>
    <col min="1282" max="1282" width="16.7109375" style="497" bestFit="1" customWidth="1"/>
    <col min="1283" max="1283" width="17.5703125" style="497" bestFit="1" customWidth="1"/>
    <col min="1284" max="1284" width="23.7109375" style="497" customWidth="1"/>
    <col min="1285" max="1285" width="26" style="497" customWidth="1"/>
    <col min="1286" max="1286" width="8" style="497" bestFit="1" customWidth="1"/>
    <col min="1287" max="1287" width="18.140625" style="497" bestFit="1" customWidth="1"/>
    <col min="1288" max="1288" width="10.5703125" style="497" bestFit="1" customWidth="1"/>
    <col min="1289" max="1536" width="13.42578125" style="497"/>
    <col min="1537" max="1537" width="10.28515625" style="497" bestFit="1" customWidth="1"/>
    <col min="1538" max="1538" width="16.7109375" style="497" bestFit="1" customWidth="1"/>
    <col min="1539" max="1539" width="17.5703125" style="497" bestFit="1" customWidth="1"/>
    <col min="1540" max="1540" width="23.7109375" style="497" customWidth="1"/>
    <col min="1541" max="1541" width="26" style="497" customWidth="1"/>
    <col min="1542" max="1542" width="8" style="497" bestFit="1" customWidth="1"/>
    <col min="1543" max="1543" width="18.140625" style="497" bestFit="1" customWidth="1"/>
    <col min="1544" max="1544" width="10.5703125" style="497" bestFit="1" customWidth="1"/>
    <col min="1545" max="1792" width="13.42578125" style="497"/>
    <col min="1793" max="1793" width="10.28515625" style="497" bestFit="1" customWidth="1"/>
    <col min="1794" max="1794" width="16.7109375" style="497" bestFit="1" customWidth="1"/>
    <col min="1795" max="1795" width="17.5703125" style="497" bestFit="1" customWidth="1"/>
    <col min="1796" max="1796" width="23.7109375" style="497" customWidth="1"/>
    <col min="1797" max="1797" width="26" style="497" customWidth="1"/>
    <col min="1798" max="1798" width="8" style="497" bestFit="1" customWidth="1"/>
    <col min="1799" max="1799" width="18.140625" style="497" bestFit="1" customWidth="1"/>
    <col min="1800" max="1800" width="10.5703125" style="497" bestFit="1" customWidth="1"/>
    <col min="1801" max="2048" width="13.42578125" style="497"/>
    <col min="2049" max="2049" width="10.28515625" style="497" bestFit="1" customWidth="1"/>
    <col min="2050" max="2050" width="16.7109375" style="497" bestFit="1" customWidth="1"/>
    <col min="2051" max="2051" width="17.5703125" style="497" bestFit="1" customWidth="1"/>
    <col min="2052" max="2052" width="23.7109375" style="497" customWidth="1"/>
    <col min="2053" max="2053" width="26" style="497" customWidth="1"/>
    <col min="2054" max="2054" width="8" style="497" bestFit="1" customWidth="1"/>
    <col min="2055" max="2055" width="18.140625" style="497" bestFit="1" customWidth="1"/>
    <col min="2056" max="2056" width="10.5703125" style="497" bestFit="1" customWidth="1"/>
    <col min="2057" max="2304" width="13.42578125" style="497"/>
    <col min="2305" max="2305" width="10.28515625" style="497" bestFit="1" customWidth="1"/>
    <col min="2306" max="2306" width="16.7109375" style="497" bestFit="1" customWidth="1"/>
    <col min="2307" max="2307" width="17.5703125" style="497" bestFit="1" customWidth="1"/>
    <col min="2308" max="2308" width="23.7109375" style="497" customWidth="1"/>
    <col min="2309" max="2309" width="26" style="497" customWidth="1"/>
    <col min="2310" max="2310" width="8" style="497" bestFit="1" customWidth="1"/>
    <col min="2311" max="2311" width="18.140625" style="497" bestFit="1" customWidth="1"/>
    <col min="2312" max="2312" width="10.5703125" style="497" bestFit="1" customWidth="1"/>
    <col min="2313" max="2560" width="13.42578125" style="497"/>
    <col min="2561" max="2561" width="10.28515625" style="497" bestFit="1" customWidth="1"/>
    <col min="2562" max="2562" width="16.7109375" style="497" bestFit="1" customWidth="1"/>
    <col min="2563" max="2563" width="17.5703125" style="497" bestFit="1" customWidth="1"/>
    <col min="2564" max="2564" width="23.7109375" style="497" customWidth="1"/>
    <col min="2565" max="2565" width="26" style="497" customWidth="1"/>
    <col min="2566" max="2566" width="8" style="497" bestFit="1" customWidth="1"/>
    <col min="2567" max="2567" width="18.140625" style="497" bestFit="1" customWidth="1"/>
    <col min="2568" max="2568" width="10.5703125" style="497" bestFit="1" customWidth="1"/>
    <col min="2569" max="2816" width="13.42578125" style="497"/>
    <col min="2817" max="2817" width="10.28515625" style="497" bestFit="1" customWidth="1"/>
    <col min="2818" max="2818" width="16.7109375" style="497" bestFit="1" customWidth="1"/>
    <col min="2819" max="2819" width="17.5703125" style="497" bestFit="1" customWidth="1"/>
    <col min="2820" max="2820" width="23.7109375" style="497" customWidth="1"/>
    <col min="2821" max="2821" width="26" style="497" customWidth="1"/>
    <col min="2822" max="2822" width="8" style="497" bestFit="1" customWidth="1"/>
    <col min="2823" max="2823" width="18.140625" style="497" bestFit="1" customWidth="1"/>
    <col min="2824" max="2824" width="10.5703125" style="497" bestFit="1" customWidth="1"/>
    <col min="2825" max="3072" width="13.42578125" style="497"/>
    <col min="3073" max="3073" width="10.28515625" style="497" bestFit="1" customWidth="1"/>
    <col min="3074" max="3074" width="16.7109375" style="497" bestFit="1" customWidth="1"/>
    <col min="3075" max="3075" width="17.5703125" style="497" bestFit="1" customWidth="1"/>
    <col min="3076" max="3076" width="23.7109375" style="497" customWidth="1"/>
    <col min="3077" max="3077" width="26" style="497" customWidth="1"/>
    <col min="3078" max="3078" width="8" style="497" bestFit="1" customWidth="1"/>
    <col min="3079" max="3079" width="18.140625" style="497" bestFit="1" customWidth="1"/>
    <col min="3080" max="3080" width="10.5703125" style="497" bestFit="1" customWidth="1"/>
    <col min="3081" max="3328" width="13.42578125" style="497"/>
    <col min="3329" max="3329" width="10.28515625" style="497" bestFit="1" customWidth="1"/>
    <col min="3330" max="3330" width="16.7109375" style="497" bestFit="1" customWidth="1"/>
    <col min="3331" max="3331" width="17.5703125" style="497" bestFit="1" customWidth="1"/>
    <col min="3332" max="3332" width="23.7109375" style="497" customWidth="1"/>
    <col min="3333" max="3333" width="26" style="497" customWidth="1"/>
    <col min="3334" max="3334" width="8" style="497" bestFit="1" customWidth="1"/>
    <col min="3335" max="3335" width="18.140625" style="497" bestFit="1" customWidth="1"/>
    <col min="3336" max="3336" width="10.5703125" style="497" bestFit="1" customWidth="1"/>
    <col min="3337" max="3584" width="13.42578125" style="497"/>
    <col min="3585" max="3585" width="10.28515625" style="497" bestFit="1" customWidth="1"/>
    <col min="3586" max="3586" width="16.7109375" style="497" bestFit="1" customWidth="1"/>
    <col min="3587" max="3587" width="17.5703125" style="497" bestFit="1" customWidth="1"/>
    <col min="3588" max="3588" width="23.7109375" style="497" customWidth="1"/>
    <col min="3589" max="3589" width="26" style="497" customWidth="1"/>
    <col min="3590" max="3590" width="8" style="497" bestFit="1" customWidth="1"/>
    <col min="3591" max="3591" width="18.140625" style="497" bestFit="1" customWidth="1"/>
    <col min="3592" max="3592" width="10.5703125" style="497" bestFit="1" customWidth="1"/>
    <col min="3593" max="3840" width="13.42578125" style="497"/>
    <col min="3841" max="3841" width="10.28515625" style="497" bestFit="1" customWidth="1"/>
    <col min="3842" max="3842" width="16.7109375" style="497" bestFit="1" customWidth="1"/>
    <col min="3843" max="3843" width="17.5703125" style="497" bestFit="1" customWidth="1"/>
    <col min="3844" max="3844" width="23.7109375" style="497" customWidth="1"/>
    <col min="3845" max="3845" width="26" style="497" customWidth="1"/>
    <col min="3846" max="3846" width="8" style="497" bestFit="1" customWidth="1"/>
    <col min="3847" max="3847" width="18.140625" style="497" bestFit="1" customWidth="1"/>
    <col min="3848" max="3848" width="10.5703125" style="497" bestFit="1" customWidth="1"/>
    <col min="3849" max="4096" width="13.42578125" style="497"/>
    <col min="4097" max="4097" width="10.28515625" style="497" bestFit="1" customWidth="1"/>
    <col min="4098" max="4098" width="16.7109375" style="497" bestFit="1" customWidth="1"/>
    <col min="4099" max="4099" width="17.5703125" style="497" bestFit="1" customWidth="1"/>
    <col min="4100" max="4100" width="23.7109375" style="497" customWidth="1"/>
    <col min="4101" max="4101" width="26" style="497" customWidth="1"/>
    <col min="4102" max="4102" width="8" style="497" bestFit="1" customWidth="1"/>
    <col min="4103" max="4103" width="18.140625" style="497" bestFit="1" customWidth="1"/>
    <col min="4104" max="4104" width="10.5703125" style="497" bestFit="1" customWidth="1"/>
    <col min="4105" max="4352" width="13.42578125" style="497"/>
    <col min="4353" max="4353" width="10.28515625" style="497" bestFit="1" customWidth="1"/>
    <col min="4354" max="4354" width="16.7109375" style="497" bestFit="1" customWidth="1"/>
    <col min="4355" max="4355" width="17.5703125" style="497" bestFit="1" customWidth="1"/>
    <col min="4356" max="4356" width="23.7109375" style="497" customWidth="1"/>
    <col min="4357" max="4357" width="26" style="497" customWidth="1"/>
    <col min="4358" max="4358" width="8" style="497" bestFit="1" customWidth="1"/>
    <col min="4359" max="4359" width="18.140625" style="497" bestFit="1" customWidth="1"/>
    <col min="4360" max="4360" width="10.5703125" style="497" bestFit="1" customWidth="1"/>
    <col min="4361" max="4608" width="13.42578125" style="497"/>
    <col min="4609" max="4609" width="10.28515625" style="497" bestFit="1" customWidth="1"/>
    <col min="4610" max="4610" width="16.7109375" style="497" bestFit="1" customWidth="1"/>
    <col min="4611" max="4611" width="17.5703125" style="497" bestFit="1" customWidth="1"/>
    <col min="4612" max="4612" width="23.7109375" style="497" customWidth="1"/>
    <col min="4613" max="4613" width="26" style="497" customWidth="1"/>
    <col min="4614" max="4614" width="8" style="497" bestFit="1" customWidth="1"/>
    <col min="4615" max="4615" width="18.140625" style="497" bestFit="1" customWidth="1"/>
    <col min="4616" max="4616" width="10.5703125" style="497" bestFit="1" customWidth="1"/>
    <col min="4617" max="4864" width="13.42578125" style="497"/>
    <col min="4865" max="4865" width="10.28515625" style="497" bestFit="1" customWidth="1"/>
    <col min="4866" max="4866" width="16.7109375" style="497" bestFit="1" customWidth="1"/>
    <col min="4867" max="4867" width="17.5703125" style="497" bestFit="1" customWidth="1"/>
    <col min="4868" max="4868" width="23.7109375" style="497" customWidth="1"/>
    <col min="4869" max="4869" width="26" style="497" customWidth="1"/>
    <col min="4870" max="4870" width="8" style="497" bestFit="1" customWidth="1"/>
    <col min="4871" max="4871" width="18.140625" style="497" bestFit="1" customWidth="1"/>
    <col min="4872" max="4872" width="10.5703125" style="497" bestFit="1" customWidth="1"/>
    <col min="4873" max="5120" width="13.42578125" style="497"/>
    <col min="5121" max="5121" width="10.28515625" style="497" bestFit="1" customWidth="1"/>
    <col min="5122" max="5122" width="16.7109375" style="497" bestFit="1" customWidth="1"/>
    <col min="5123" max="5123" width="17.5703125" style="497" bestFit="1" customWidth="1"/>
    <col min="5124" max="5124" width="23.7109375" style="497" customWidth="1"/>
    <col min="5125" max="5125" width="26" style="497" customWidth="1"/>
    <col min="5126" max="5126" width="8" style="497" bestFit="1" customWidth="1"/>
    <col min="5127" max="5127" width="18.140625" style="497" bestFit="1" customWidth="1"/>
    <col min="5128" max="5128" width="10.5703125" style="497" bestFit="1" customWidth="1"/>
    <col min="5129" max="5376" width="13.42578125" style="497"/>
    <col min="5377" max="5377" width="10.28515625" style="497" bestFit="1" customWidth="1"/>
    <col min="5378" max="5378" width="16.7109375" style="497" bestFit="1" customWidth="1"/>
    <col min="5379" max="5379" width="17.5703125" style="497" bestFit="1" customWidth="1"/>
    <col min="5380" max="5380" width="23.7109375" style="497" customWidth="1"/>
    <col min="5381" max="5381" width="26" style="497" customWidth="1"/>
    <col min="5382" max="5382" width="8" style="497" bestFit="1" customWidth="1"/>
    <col min="5383" max="5383" width="18.140625" style="497" bestFit="1" customWidth="1"/>
    <col min="5384" max="5384" width="10.5703125" style="497" bestFit="1" customWidth="1"/>
    <col min="5385" max="5632" width="13.42578125" style="497"/>
    <col min="5633" max="5633" width="10.28515625" style="497" bestFit="1" customWidth="1"/>
    <col min="5634" max="5634" width="16.7109375" style="497" bestFit="1" customWidth="1"/>
    <col min="5635" max="5635" width="17.5703125" style="497" bestFit="1" customWidth="1"/>
    <col min="5636" max="5636" width="23.7109375" style="497" customWidth="1"/>
    <col min="5637" max="5637" width="26" style="497" customWidth="1"/>
    <col min="5638" max="5638" width="8" style="497" bestFit="1" customWidth="1"/>
    <col min="5639" max="5639" width="18.140625" style="497" bestFit="1" customWidth="1"/>
    <col min="5640" max="5640" width="10.5703125" style="497" bestFit="1" customWidth="1"/>
    <col min="5641" max="5888" width="13.42578125" style="497"/>
    <col min="5889" max="5889" width="10.28515625" style="497" bestFit="1" customWidth="1"/>
    <col min="5890" max="5890" width="16.7109375" style="497" bestFit="1" customWidth="1"/>
    <col min="5891" max="5891" width="17.5703125" style="497" bestFit="1" customWidth="1"/>
    <col min="5892" max="5892" width="23.7109375" style="497" customWidth="1"/>
    <col min="5893" max="5893" width="26" style="497" customWidth="1"/>
    <col min="5894" max="5894" width="8" style="497" bestFit="1" customWidth="1"/>
    <col min="5895" max="5895" width="18.140625" style="497" bestFit="1" customWidth="1"/>
    <col min="5896" max="5896" width="10.5703125" style="497" bestFit="1" customWidth="1"/>
    <col min="5897" max="6144" width="13.42578125" style="497"/>
    <col min="6145" max="6145" width="10.28515625" style="497" bestFit="1" customWidth="1"/>
    <col min="6146" max="6146" width="16.7109375" style="497" bestFit="1" customWidth="1"/>
    <col min="6147" max="6147" width="17.5703125" style="497" bestFit="1" customWidth="1"/>
    <col min="6148" max="6148" width="23.7109375" style="497" customWidth="1"/>
    <col min="6149" max="6149" width="26" style="497" customWidth="1"/>
    <col min="6150" max="6150" width="8" style="497" bestFit="1" customWidth="1"/>
    <col min="6151" max="6151" width="18.140625" style="497" bestFit="1" customWidth="1"/>
    <col min="6152" max="6152" width="10.5703125" style="497" bestFit="1" customWidth="1"/>
    <col min="6153" max="6400" width="13.42578125" style="497"/>
    <col min="6401" max="6401" width="10.28515625" style="497" bestFit="1" customWidth="1"/>
    <col min="6402" max="6402" width="16.7109375" style="497" bestFit="1" customWidth="1"/>
    <col min="6403" max="6403" width="17.5703125" style="497" bestFit="1" customWidth="1"/>
    <col min="6404" max="6404" width="23.7109375" style="497" customWidth="1"/>
    <col min="6405" max="6405" width="26" style="497" customWidth="1"/>
    <col min="6406" max="6406" width="8" style="497" bestFit="1" customWidth="1"/>
    <col min="6407" max="6407" width="18.140625" style="497" bestFit="1" customWidth="1"/>
    <col min="6408" max="6408" width="10.5703125" style="497" bestFit="1" customWidth="1"/>
    <col min="6409" max="6656" width="13.42578125" style="497"/>
    <col min="6657" max="6657" width="10.28515625" style="497" bestFit="1" customWidth="1"/>
    <col min="6658" max="6658" width="16.7109375" style="497" bestFit="1" customWidth="1"/>
    <col min="6659" max="6659" width="17.5703125" style="497" bestFit="1" customWidth="1"/>
    <col min="6660" max="6660" width="23.7109375" style="497" customWidth="1"/>
    <col min="6661" max="6661" width="26" style="497" customWidth="1"/>
    <col min="6662" max="6662" width="8" style="497" bestFit="1" customWidth="1"/>
    <col min="6663" max="6663" width="18.140625" style="497" bestFit="1" customWidth="1"/>
    <col min="6664" max="6664" width="10.5703125" style="497" bestFit="1" customWidth="1"/>
    <col min="6665" max="6912" width="13.42578125" style="497"/>
    <col min="6913" max="6913" width="10.28515625" style="497" bestFit="1" customWidth="1"/>
    <col min="6914" max="6914" width="16.7109375" style="497" bestFit="1" customWidth="1"/>
    <col min="6915" max="6915" width="17.5703125" style="497" bestFit="1" customWidth="1"/>
    <col min="6916" max="6916" width="23.7109375" style="497" customWidth="1"/>
    <col min="6917" max="6917" width="26" style="497" customWidth="1"/>
    <col min="6918" max="6918" width="8" style="497" bestFit="1" customWidth="1"/>
    <col min="6919" max="6919" width="18.140625" style="497" bestFit="1" customWidth="1"/>
    <col min="6920" max="6920" width="10.5703125" style="497" bestFit="1" customWidth="1"/>
    <col min="6921" max="7168" width="13.42578125" style="497"/>
    <col min="7169" max="7169" width="10.28515625" style="497" bestFit="1" customWidth="1"/>
    <col min="7170" max="7170" width="16.7109375" style="497" bestFit="1" customWidth="1"/>
    <col min="7171" max="7171" width="17.5703125" style="497" bestFit="1" customWidth="1"/>
    <col min="7172" max="7172" width="23.7109375" style="497" customWidth="1"/>
    <col min="7173" max="7173" width="26" style="497" customWidth="1"/>
    <col min="7174" max="7174" width="8" style="497" bestFit="1" customWidth="1"/>
    <col min="7175" max="7175" width="18.140625" style="497" bestFit="1" customWidth="1"/>
    <col min="7176" max="7176" width="10.5703125" style="497" bestFit="1" customWidth="1"/>
    <col min="7177" max="7424" width="13.42578125" style="497"/>
    <col min="7425" max="7425" width="10.28515625" style="497" bestFit="1" customWidth="1"/>
    <col min="7426" max="7426" width="16.7109375" style="497" bestFit="1" customWidth="1"/>
    <col min="7427" max="7427" width="17.5703125" style="497" bestFit="1" customWidth="1"/>
    <col min="7428" max="7428" width="23.7109375" style="497" customWidth="1"/>
    <col min="7429" max="7429" width="26" style="497" customWidth="1"/>
    <col min="7430" max="7430" width="8" style="497" bestFit="1" customWidth="1"/>
    <col min="7431" max="7431" width="18.140625" style="497" bestFit="1" customWidth="1"/>
    <col min="7432" max="7432" width="10.5703125" style="497" bestFit="1" customWidth="1"/>
    <col min="7433" max="7680" width="13.42578125" style="497"/>
    <col min="7681" max="7681" width="10.28515625" style="497" bestFit="1" customWidth="1"/>
    <col min="7682" max="7682" width="16.7109375" style="497" bestFit="1" customWidth="1"/>
    <col min="7683" max="7683" width="17.5703125" style="497" bestFit="1" customWidth="1"/>
    <col min="7684" max="7684" width="23.7109375" style="497" customWidth="1"/>
    <col min="7685" max="7685" width="26" style="497" customWidth="1"/>
    <col min="7686" max="7686" width="8" style="497" bestFit="1" customWidth="1"/>
    <col min="7687" max="7687" width="18.140625" style="497" bestFit="1" customWidth="1"/>
    <col min="7688" max="7688" width="10.5703125" style="497" bestFit="1" customWidth="1"/>
    <col min="7689" max="7936" width="13.42578125" style="497"/>
    <col min="7937" max="7937" width="10.28515625" style="497" bestFit="1" customWidth="1"/>
    <col min="7938" max="7938" width="16.7109375" style="497" bestFit="1" customWidth="1"/>
    <col min="7939" max="7939" width="17.5703125" style="497" bestFit="1" customWidth="1"/>
    <col min="7940" max="7940" width="23.7109375" style="497" customWidth="1"/>
    <col min="7941" max="7941" width="26" style="497" customWidth="1"/>
    <col min="7942" max="7942" width="8" style="497" bestFit="1" customWidth="1"/>
    <col min="7943" max="7943" width="18.140625" style="497" bestFit="1" customWidth="1"/>
    <col min="7944" max="7944" width="10.5703125" style="497" bestFit="1" customWidth="1"/>
    <col min="7945" max="8192" width="13.42578125" style="497"/>
    <col min="8193" max="8193" width="10.28515625" style="497" bestFit="1" customWidth="1"/>
    <col min="8194" max="8194" width="16.7109375" style="497" bestFit="1" customWidth="1"/>
    <col min="8195" max="8195" width="17.5703125" style="497" bestFit="1" customWidth="1"/>
    <col min="8196" max="8196" width="23.7109375" style="497" customWidth="1"/>
    <col min="8197" max="8197" width="26" style="497" customWidth="1"/>
    <col min="8198" max="8198" width="8" style="497" bestFit="1" customWidth="1"/>
    <col min="8199" max="8199" width="18.140625" style="497" bestFit="1" customWidth="1"/>
    <col min="8200" max="8200" width="10.5703125" style="497" bestFit="1" customWidth="1"/>
    <col min="8201" max="8448" width="13.42578125" style="497"/>
    <col min="8449" max="8449" width="10.28515625" style="497" bestFit="1" customWidth="1"/>
    <col min="8450" max="8450" width="16.7109375" style="497" bestFit="1" customWidth="1"/>
    <col min="8451" max="8451" width="17.5703125" style="497" bestFit="1" customWidth="1"/>
    <col min="8452" max="8452" width="23.7109375" style="497" customWidth="1"/>
    <col min="8453" max="8453" width="26" style="497" customWidth="1"/>
    <col min="8454" max="8454" width="8" style="497" bestFit="1" customWidth="1"/>
    <col min="8455" max="8455" width="18.140625" style="497" bestFit="1" customWidth="1"/>
    <col min="8456" max="8456" width="10.5703125" style="497" bestFit="1" customWidth="1"/>
    <col min="8457" max="8704" width="13.42578125" style="497"/>
    <col min="8705" max="8705" width="10.28515625" style="497" bestFit="1" customWidth="1"/>
    <col min="8706" max="8706" width="16.7109375" style="497" bestFit="1" customWidth="1"/>
    <col min="8707" max="8707" width="17.5703125" style="497" bestFit="1" customWidth="1"/>
    <col min="8708" max="8708" width="23.7109375" style="497" customWidth="1"/>
    <col min="8709" max="8709" width="26" style="497" customWidth="1"/>
    <col min="8710" max="8710" width="8" style="497" bestFit="1" customWidth="1"/>
    <col min="8711" max="8711" width="18.140625" style="497" bestFit="1" customWidth="1"/>
    <col min="8712" max="8712" width="10.5703125" style="497" bestFit="1" customWidth="1"/>
    <col min="8713" max="8960" width="13.42578125" style="497"/>
    <col min="8961" max="8961" width="10.28515625" style="497" bestFit="1" customWidth="1"/>
    <col min="8962" max="8962" width="16.7109375" style="497" bestFit="1" customWidth="1"/>
    <col min="8963" max="8963" width="17.5703125" style="497" bestFit="1" customWidth="1"/>
    <col min="8964" max="8964" width="23.7109375" style="497" customWidth="1"/>
    <col min="8965" max="8965" width="26" style="497" customWidth="1"/>
    <col min="8966" max="8966" width="8" style="497" bestFit="1" customWidth="1"/>
    <col min="8967" max="8967" width="18.140625" style="497" bestFit="1" customWidth="1"/>
    <col min="8968" max="8968" width="10.5703125" style="497" bestFit="1" customWidth="1"/>
    <col min="8969" max="9216" width="13.42578125" style="497"/>
    <col min="9217" max="9217" width="10.28515625" style="497" bestFit="1" customWidth="1"/>
    <col min="9218" max="9218" width="16.7109375" style="497" bestFit="1" customWidth="1"/>
    <col min="9219" max="9219" width="17.5703125" style="497" bestFit="1" customWidth="1"/>
    <col min="9220" max="9220" width="23.7109375" style="497" customWidth="1"/>
    <col min="9221" max="9221" width="26" style="497" customWidth="1"/>
    <col min="9222" max="9222" width="8" style="497" bestFit="1" customWidth="1"/>
    <col min="9223" max="9223" width="18.140625" style="497" bestFit="1" customWidth="1"/>
    <col min="9224" max="9224" width="10.5703125" style="497" bestFit="1" customWidth="1"/>
    <col min="9225" max="9472" width="13.42578125" style="497"/>
    <col min="9473" max="9473" width="10.28515625" style="497" bestFit="1" customWidth="1"/>
    <col min="9474" max="9474" width="16.7109375" style="497" bestFit="1" customWidth="1"/>
    <col min="9475" max="9475" width="17.5703125" style="497" bestFit="1" customWidth="1"/>
    <col min="9476" max="9476" width="23.7109375" style="497" customWidth="1"/>
    <col min="9477" max="9477" width="26" style="497" customWidth="1"/>
    <col min="9478" max="9478" width="8" style="497" bestFit="1" customWidth="1"/>
    <col min="9479" max="9479" width="18.140625" style="497" bestFit="1" customWidth="1"/>
    <col min="9480" max="9480" width="10.5703125" style="497" bestFit="1" customWidth="1"/>
    <col min="9481" max="9728" width="13.42578125" style="497"/>
    <col min="9729" max="9729" width="10.28515625" style="497" bestFit="1" customWidth="1"/>
    <col min="9730" max="9730" width="16.7109375" style="497" bestFit="1" customWidth="1"/>
    <col min="9731" max="9731" width="17.5703125" style="497" bestFit="1" customWidth="1"/>
    <col min="9732" max="9732" width="23.7109375" style="497" customWidth="1"/>
    <col min="9733" max="9733" width="26" style="497" customWidth="1"/>
    <col min="9734" max="9734" width="8" style="497" bestFit="1" customWidth="1"/>
    <col min="9735" max="9735" width="18.140625" style="497" bestFit="1" customWidth="1"/>
    <col min="9736" max="9736" width="10.5703125" style="497" bestFit="1" customWidth="1"/>
    <col min="9737" max="9984" width="13.42578125" style="497"/>
    <col min="9985" max="9985" width="10.28515625" style="497" bestFit="1" customWidth="1"/>
    <col min="9986" max="9986" width="16.7109375" style="497" bestFit="1" customWidth="1"/>
    <col min="9987" max="9987" width="17.5703125" style="497" bestFit="1" customWidth="1"/>
    <col min="9988" max="9988" width="23.7109375" style="497" customWidth="1"/>
    <col min="9989" max="9989" width="26" style="497" customWidth="1"/>
    <col min="9990" max="9990" width="8" style="497" bestFit="1" customWidth="1"/>
    <col min="9991" max="9991" width="18.140625" style="497" bestFit="1" customWidth="1"/>
    <col min="9992" max="9992" width="10.5703125" style="497" bestFit="1" customWidth="1"/>
    <col min="9993" max="10240" width="13.42578125" style="497"/>
    <col min="10241" max="10241" width="10.28515625" style="497" bestFit="1" customWidth="1"/>
    <col min="10242" max="10242" width="16.7109375" style="497" bestFit="1" customWidth="1"/>
    <col min="10243" max="10243" width="17.5703125" style="497" bestFit="1" customWidth="1"/>
    <col min="10244" max="10244" width="23.7109375" style="497" customWidth="1"/>
    <col min="10245" max="10245" width="26" style="497" customWidth="1"/>
    <col min="10246" max="10246" width="8" style="497" bestFit="1" customWidth="1"/>
    <col min="10247" max="10247" width="18.140625" style="497" bestFit="1" customWidth="1"/>
    <col min="10248" max="10248" width="10.5703125" style="497" bestFit="1" customWidth="1"/>
    <col min="10249" max="10496" width="13.42578125" style="497"/>
    <col min="10497" max="10497" width="10.28515625" style="497" bestFit="1" customWidth="1"/>
    <col min="10498" max="10498" width="16.7109375" style="497" bestFit="1" customWidth="1"/>
    <col min="10499" max="10499" width="17.5703125" style="497" bestFit="1" customWidth="1"/>
    <col min="10500" max="10500" width="23.7109375" style="497" customWidth="1"/>
    <col min="10501" max="10501" width="26" style="497" customWidth="1"/>
    <col min="10502" max="10502" width="8" style="497" bestFit="1" customWidth="1"/>
    <col min="10503" max="10503" width="18.140625" style="497" bestFit="1" customWidth="1"/>
    <col min="10504" max="10504" width="10.5703125" style="497" bestFit="1" customWidth="1"/>
    <col min="10505" max="10752" width="13.42578125" style="497"/>
    <col min="10753" max="10753" width="10.28515625" style="497" bestFit="1" customWidth="1"/>
    <col min="10754" max="10754" width="16.7109375" style="497" bestFit="1" customWidth="1"/>
    <col min="10755" max="10755" width="17.5703125" style="497" bestFit="1" customWidth="1"/>
    <col min="10756" max="10756" width="23.7109375" style="497" customWidth="1"/>
    <col min="10757" max="10757" width="26" style="497" customWidth="1"/>
    <col min="10758" max="10758" width="8" style="497" bestFit="1" customWidth="1"/>
    <col min="10759" max="10759" width="18.140625" style="497" bestFit="1" customWidth="1"/>
    <col min="10760" max="10760" width="10.5703125" style="497" bestFit="1" customWidth="1"/>
    <col min="10761" max="11008" width="13.42578125" style="497"/>
    <col min="11009" max="11009" width="10.28515625" style="497" bestFit="1" customWidth="1"/>
    <col min="11010" max="11010" width="16.7109375" style="497" bestFit="1" customWidth="1"/>
    <col min="11011" max="11011" width="17.5703125" style="497" bestFit="1" customWidth="1"/>
    <col min="11012" max="11012" width="23.7109375" style="497" customWidth="1"/>
    <col min="11013" max="11013" width="26" style="497" customWidth="1"/>
    <col min="11014" max="11014" width="8" style="497" bestFit="1" customWidth="1"/>
    <col min="11015" max="11015" width="18.140625" style="497" bestFit="1" customWidth="1"/>
    <col min="11016" max="11016" width="10.5703125" style="497" bestFit="1" customWidth="1"/>
    <col min="11017" max="11264" width="13.42578125" style="497"/>
    <col min="11265" max="11265" width="10.28515625" style="497" bestFit="1" customWidth="1"/>
    <col min="11266" max="11266" width="16.7109375" style="497" bestFit="1" customWidth="1"/>
    <col min="11267" max="11267" width="17.5703125" style="497" bestFit="1" customWidth="1"/>
    <col min="11268" max="11268" width="23.7109375" style="497" customWidth="1"/>
    <col min="11269" max="11269" width="26" style="497" customWidth="1"/>
    <col min="11270" max="11270" width="8" style="497" bestFit="1" customWidth="1"/>
    <col min="11271" max="11271" width="18.140625" style="497" bestFit="1" customWidth="1"/>
    <col min="11272" max="11272" width="10.5703125" style="497" bestFit="1" customWidth="1"/>
    <col min="11273" max="11520" width="13.42578125" style="497"/>
    <col min="11521" max="11521" width="10.28515625" style="497" bestFit="1" customWidth="1"/>
    <col min="11522" max="11522" width="16.7109375" style="497" bestFit="1" customWidth="1"/>
    <col min="11523" max="11523" width="17.5703125" style="497" bestFit="1" customWidth="1"/>
    <col min="11524" max="11524" width="23.7109375" style="497" customWidth="1"/>
    <col min="11525" max="11525" width="26" style="497" customWidth="1"/>
    <col min="11526" max="11526" width="8" style="497" bestFit="1" customWidth="1"/>
    <col min="11527" max="11527" width="18.140625" style="497" bestFit="1" customWidth="1"/>
    <col min="11528" max="11528" width="10.5703125" style="497" bestFit="1" customWidth="1"/>
    <col min="11529" max="11776" width="13.42578125" style="497"/>
    <col min="11777" max="11777" width="10.28515625" style="497" bestFit="1" customWidth="1"/>
    <col min="11778" max="11778" width="16.7109375" style="497" bestFit="1" customWidth="1"/>
    <col min="11779" max="11779" width="17.5703125" style="497" bestFit="1" customWidth="1"/>
    <col min="11780" max="11780" width="23.7109375" style="497" customWidth="1"/>
    <col min="11781" max="11781" width="26" style="497" customWidth="1"/>
    <col min="11782" max="11782" width="8" style="497" bestFit="1" customWidth="1"/>
    <col min="11783" max="11783" width="18.140625" style="497" bestFit="1" customWidth="1"/>
    <col min="11784" max="11784" width="10.5703125" style="497" bestFit="1" customWidth="1"/>
    <col min="11785" max="12032" width="13.42578125" style="497"/>
    <col min="12033" max="12033" width="10.28515625" style="497" bestFit="1" customWidth="1"/>
    <col min="12034" max="12034" width="16.7109375" style="497" bestFit="1" customWidth="1"/>
    <col min="12035" max="12035" width="17.5703125" style="497" bestFit="1" customWidth="1"/>
    <col min="12036" max="12036" width="23.7109375" style="497" customWidth="1"/>
    <col min="12037" max="12037" width="26" style="497" customWidth="1"/>
    <col min="12038" max="12038" width="8" style="497" bestFit="1" customWidth="1"/>
    <col min="12039" max="12039" width="18.140625" style="497" bestFit="1" customWidth="1"/>
    <col min="12040" max="12040" width="10.5703125" style="497" bestFit="1" customWidth="1"/>
    <col min="12041" max="12288" width="13.42578125" style="497"/>
    <col min="12289" max="12289" width="10.28515625" style="497" bestFit="1" customWidth="1"/>
    <col min="12290" max="12290" width="16.7109375" style="497" bestFit="1" customWidth="1"/>
    <col min="12291" max="12291" width="17.5703125" style="497" bestFit="1" customWidth="1"/>
    <col min="12292" max="12292" width="23.7109375" style="497" customWidth="1"/>
    <col min="12293" max="12293" width="26" style="497" customWidth="1"/>
    <col min="12294" max="12294" width="8" style="497" bestFit="1" customWidth="1"/>
    <col min="12295" max="12295" width="18.140625" style="497" bestFit="1" customWidth="1"/>
    <col min="12296" max="12296" width="10.5703125" style="497" bestFit="1" customWidth="1"/>
    <col min="12297" max="12544" width="13.42578125" style="497"/>
    <col min="12545" max="12545" width="10.28515625" style="497" bestFit="1" customWidth="1"/>
    <col min="12546" max="12546" width="16.7109375" style="497" bestFit="1" customWidth="1"/>
    <col min="12547" max="12547" width="17.5703125" style="497" bestFit="1" customWidth="1"/>
    <col min="12548" max="12548" width="23.7109375" style="497" customWidth="1"/>
    <col min="12549" max="12549" width="26" style="497" customWidth="1"/>
    <col min="12550" max="12550" width="8" style="497" bestFit="1" customWidth="1"/>
    <col min="12551" max="12551" width="18.140625" style="497" bestFit="1" customWidth="1"/>
    <col min="12552" max="12552" width="10.5703125" style="497" bestFit="1" customWidth="1"/>
    <col min="12553" max="12800" width="13.42578125" style="497"/>
    <col min="12801" max="12801" width="10.28515625" style="497" bestFit="1" customWidth="1"/>
    <col min="12802" max="12802" width="16.7109375" style="497" bestFit="1" customWidth="1"/>
    <col min="12803" max="12803" width="17.5703125" style="497" bestFit="1" customWidth="1"/>
    <col min="12804" max="12804" width="23.7109375" style="497" customWidth="1"/>
    <col min="12805" max="12805" width="26" style="497" customWidth="1"/>
    <col min="12806" max="12806" width="8" style="497" bestFit="1" customWidth="1"/>
    <col min="12807" max="12807" width="18.140625" style="497" bestFit="1" customWidth="1"/>
    <col min="12808" max="12808" width="10.5703125" style="497" bestFit="1" customWidth="1"/>
    <col min="12809" max="13056" width="13.42578125" style="497"/>
    <col min="13057" max="13057" width="10.28515625" style="497" bestFit="1" customWidth="1"/>
    <col min="13058" max="13058" width="16.7109375" style="497" bestFit="1" customWidth="1"/>
    <col min="13059" max="13059" width="17.5703125" style="497" bestFit="1" customWidth="1"/>
    <col min="13060" max="13060" width="23.7109375" style="497" customWidth="1"/>
    <col min="13061" max="13061" width="26" style="497" customWidth="1"/>
    <col min="13062" max="13062" width="8" style="497" bestFit="1" customWidth="1"/>
    <col min="13063" max="13063" width="18.140625" style="497" bestFit="1" customWidth="1"/>
    <col min="13064" max="13064" width="10.5703125" style="497" bestFit="1" customWidth="1"/>
    <col min="13065" max="13312" width="13.42578125" style="497"/>
    <col min="13313" max="13313" width="10.28515625" style="497" bestFit="1" customWidth="1"/>
    <col min="13314" max="13314" width="16.7109375" style="497" bestFit="1" customWidth="1"/>
    <col min="13315" max="13315" width="17.5703125" style="497" bestFit="1" customWidth="1"/>
    <col min="13316" max="13316" width="23.7109375" style="497" customWidth="1"/>
    <col min="13317" max="13317" width="26" style="497" customWidth="1"/>
    <col min="13318" max="13318" width="8" style="497" bestFit="1" customWidth="1"/>
    <col min="13319" max="13319" width="18.140625" style="497" bestFit="1" customWidth="1"/>
    <col min="13320" max="13320" width="10.5703125" style="497" bestFit="1" customWidth="1"/>
    <col min="13321" max="13568" width="13.42578125" style="497"/>
    <col min="13569" max="13569" width="10.28515625" style="497" bestFit="1" customWidth="1"/>
    <col min="13570" max="13570" width="16.7109375" style="497" bestFit="1" customWidth="1"/>
    <col min="13571" max="13571" width="17.5703125" style="497" bestFit="1" customWidth="1"/>
    <col min="13572" max="13572" width="23.7109375" style="497" customWidth="1"/>
    <col min="13573" max="13573" width="26" style="497" customWidth="1"/>
    <col min="13574" max="13574" width="8" style="497" bestFit="1" customWidth="1"/>
    <col min="13575" max="13575" width="18.140625" style="497" bestFit="1" customWidth="1"/>
    <col min="13576" max="13576" width="10.5703125" style="497" bestFit="1" customWidth="1"/>
    <col min="13577" max="13824" width="13.42578125" style="497"/>
    <col min="13825" max="13825" width="10.28515625" style="497" bestFit="1" customWidth="1"/>
    <col min="13826" max="13826" width="16.7109375" style="497" bestFit="1" customWidth="1"/>
    <col min="13827" max="13827" width="17.5703125" style="497" bestFit="1" customWidth="1"/>
    <col min="13828" max="13828" width="23.7109375" style="497" customWidth="1"/>
    <col min="13829" max="13829" width="26" style="497" customWidth="1"/>
    <col min="13830" max="13830" width="8" style="497" bestFit="1" customWidth="1"/>
    <col min="13831" max="13831" width="18.140625" style="497" bestFit="1" customWidth="1"/>
    <col min="13832" max="13832" width="10.5703125" style="497" bestFit="1" customWidth="1"/>
    <col min="13833" max="14080" width="13.42578125" style="497"/>
    <col min="14081" max="14081" width="10.28515625" style="497" bestFit="1" customWidth="1"/>
    <col min="14082" max="14082" width="16.7109375" style="497" bestFit="1" customWidth="1"/>
    <col min="14083" max="14083" width="17.5703125" style="497" bestFit="1" customWidth="1"/>
    <col min="14084" max="14084" width="23.7109375" style="497" customWidth="1"/>
    <col min="14085" max="14085" width="26" style="497" customWidth="1"/>
    <col min="14086" max="14086" width="8" style="497" bestFit="1" customWidth="1"/>
    <col min="14087" max="14087" width="18.140625" style="497" bestFit="1" customWidth="1"/>
    <col min="14088" max="14088" width="10.5703125" style="497" bestFit="1" customWidth="1"/>
    <col min="14089" max="14336" width="13.42578125" style="497"/>
    <col min="14337" max="14337" width="10.28515625" style="497" bestFit="1" customWidth="1"/>
    <col min="14338" max="14338" width="16.7109375" style="497" bestFit="1" customWidth="1"/>
    <col min="14339" max="14339" width="17.5703125" style="497" bestFit="1" customWidth="1"/>
    <col min="14340" max="14340" width="23.7109375" style="497" customWidth="1"/>
    <col min="14341" max="14341" width="26" style="497" customWidth="1"/>
    <col min="14342" max="14342" width="8" style="497" bestFit="1" customWidth="1"/>
    <col min="14343" max="14343" width="18.140625" style="497" bestFit="1" customWidth="1"/>
    <col min="14344" max="14344" width="10.5703125" style="497" bestFit="1" customWidth="1"/>
    <col min="14345" max="14592" width="13.42578125" style="497"/>
    <col min="14593" max="14593" width="10.28515625" style="497" bestFit="1" customWidth="1"/>
    <col min="14594" max="14594" width="16.7109375" style="497" bestFit="1" customWidth="1"/>
    <col min="14595" max="14595" width="17.5703125" style="497" bestFit="1" customWidth="1"/>
    <col min="14596" max="14596" width="23.7109375" style="497" customWidth="1"/>
    <col min="14597" max="14597" width="26" style="497" customWidth="1"/>
    <col min="14598" max="14598" width="8" style="497" bestFit="1" customWidth="1"/>
    <col min="14599" max="14599" width="18.140625" style="497" bestFit="1" customWidth="1"/>
    <col min="14600" max="14600" width="10.5703125" style="497" bestFit="1" customWidth="1"/>
    <col min="14601" max="14848" width="13.42578125" style="497"/>
    <col min="14849" max="14849" width="10.28515625" style="497" bestFit="1" customWidth="1"/>
    <col min="14850" max="14850" width="16.7109375" style="497" bestFit="1" customWidth="1"/>
    <col min="14851" max="14851" width="17.5703125" style="497" bestFit="1" customWidth="1"/>
    <col min="14852" max="14852" width="23.7109375" style="497" customWidth="1"/>
    <col min="14853" max="14853" width="26" style="497" customWidth="1"/>
    <col min="14854" max="14854" width="8" style="497" bestFit="1" customWidth="1"/>
    <col min="14855" max="14855" width="18.140625" style="497" bestFit="1" customWidth="1"/>
    <col min="14856" max="14856" width="10.5703125" style="497" bestFit="1" customWidth="1"/>
    <col min="14857" max="15104" width="13.42578125" style="497"/>
    <col min="15105" max="15105" width="10.28515625" style="497" bestFit="1" customWidth="1"/>
    <col min="15106" max="15106" width="16.7109375" style="497" bestFit="1" customWidth="1"/>
    <col min="15107" max="15107" width="17.5703125" style="497" bestFit="1" customWidth="1"/>
    <col min="15108" max="15108" width="23.7109375" style="497" customWidth="1"/>
    <col min="15109" max="15109" width="26" style="497" customWidth="1"/>
    <col min="15110" max="15110" width="8" style="497" bestFit="1" customWidth="1"/>
    <col min="15111" max="15111" width="18.140625" style="497" bestFit="1" customWidth="1"/>
    <col min="15112" max="15112" width="10.5703125" style="497" bestFit="1" customWidth="1"/>
    <col min="15113" max="15360" width="13.42578125" style="497"/>
    <col min="15361" max="15361" width="10.28515625" style="497" bestFit="1" customWidth="1"/>
    <col min="15362" max="15362" width="16.7109375" style="497" bestFit="1" customWidth="1"/>
    <col min="15363" max="15363" width="17.5703125" style="497" bestFit="1" customWidth="1"/>
    <col min="15364" max="15364" width="23.7109375" style="497" customWidth="1"/>
    <col min="15365" max="15365" width="26" style="497" customWidth="1"/>
    <col min="15366" max="15366" width="8" style="497" bestFit="1" customWidth="1"/>
    <col min="15367" max="15367" width="18.140625" style="497" bestFit="1" customWidth="1"/>
    <col min="15368" max="15368" width="10.5703125" style="497" bestFit="1" customWidth="1"/>
    <col min="15369" max="15616" width="13.42578125" style="497"/>
    <col min="15617" max="15617" width="10.28515625" style="497" bestFit="1" customWidth="1"/>
    <col min="15618" max="15618" width="16.7109375" style="497" bestFit="1" customWidth="1"/>
    <col min="15619" max="15619" width="17.5703125" style="497" bestFit="1" customWidth="1"/>
    <col min="15620" max="15620" width="23.7109375" style="497" customWidth="1"/>
    <col min="15621" max="15621" width="26" style="497" customWidth="1"/>
    <col min="15622" max="15622" width="8" style="497" bestFit="1" customWidth="1"/>
    <col min="15623" max="15623" width="18.140625" style="497" bestFit="1" customWidth="1"/>
    <col min="15624" max="15624" width="10.5703125" style="497" bestFit="1" customWidth="1"/>
    <col min="15625" max="15872" width="13.42578125" style="497"/>
    <col min="15873" max="15873" width="10.28515625" style="497" bestFit="1" customWidth="1"/>
    <col min="15874" max="15874" width="16.7109375" style="497" bestFit="1" customWidth="1"/>
    <col min="15875" max="15875" width="17.5703125" style="497" bestFit="1" customWidth="1"/>
    <col min="15876" max="15876" width="23.7109375" style="497" customWidth="1"/>
    <col min="15877" max="15877" width="26" style="497" customWidth="1"/>
    <col min="15878" max="15878" width="8" style="497" bestFit="1" customWidth="1"/>
    <col min="15879" max="15879" width="18.140625" style="497" bestFit="1" customWidth="1"/>
    <col min="15880" max="15880" width="10.5703125" style="497" bestFit="1" customWidth="1"/>
    <col min="15881" max="16128" width="13.42578125" style="497"/>
    <col min="16129" max="16129" width="10.28515625" style="497" bestFit="1" customWidth="1"/>
    <col min="16130" max="16130" width="16.7109375" style="497" bestFit="1" customWidth="1"/>
    <col min="16131" max="16131" width="17.5703125" style="497" bestFit="1" customWidth="1"/>
    <col min="16132" max="16132" width="23.7109375" style="497" customWidth="1"/>
    <col min="16133" max="16133" width="26" style="497" customWidth="1"/>
    <col min="16134" max="16134" width="8" style="497" bestFit="1" customWidth="1"/>
    <col min="16135" max="16135" width="18.140625" style="497" bestFit="1" customWidth="1"/>
    <col min="16136" max="16136" width="10.5703125" style="497" bestFit="1" customWidth="1"/>
    <col min="16137" max="16384" width="13.42578125" style="497"/>
  </cols>
  <sheetData>
    <row r="1" spans="1:8" s="486" customFormat="1" x14ac:dyDescent="0.2">
      <c r="A1" s="484" t="s">
        <v>1570</v>
      </c>
      <c r="B1" s="485" t="s">
        <v>1571</v>
      </c>
      <c r="C1" s="485" t="s">
        <v>1572</v>
      </c>
      <c r="D1" s="485" t="s">
        <v>1573</v>
      </c>
      <c r="E1" s="485" t="s">
        <v>1574</v>
      </c>
      <c r="F1" s="500" t="s">
        <v>478</v>
      </c>
      <c r="G1" s="486" t="s">
        <v>1575</v>
      </c>
      <c r="H1" s="486" t="s">
        <v>1576</v>
      </c>
    </row>
    <row r="2" spans="1:8" s="490" customFormat="1" x14ac:dyDescent="0.2">
      <c r="A2" s="487" t="s">
        <v>1577</v>
      </c>
      <c r="B2" s="488" t="s">
        <v>1577</v>
      </c>
      <c r="C2" s="488" t="s">
        <v>1577</v>
      </c>
      <c r="D2" s="488" t="s">
        <v>1577</v>
      </c>
      <c r="E2" s="488" t="s">
        <v>1577</v>
      </c>
      <c r="F2" s="501" t="s">
        <v>1577</v>
      </c>
      <c r="G2" s="489"/>
      <c r="H2" s="489"/>
    </row>
    <row r="3" spans="1:8" s="493" customFormat="1" ht="105" customHeight="1" thickBot="1" x14ac:dyDescent="0.25">
      <c r="A3" s="491" t="s">
        <v>1578</v>
      </c>
      <c r="B3" s="492" t="s">
        <v>1579</v>
      </c>
      <c r="C3" s="492" t="s">
        <v>1580</v>
      </c>
      <c r="D3" s="492" t="s">
        <v>1581</v>
      </c>
      <c r="E3" s="492" t="s">
        <v>1582</v>
      </c>
      <c r="F3" s="502" t="s">
        <v>1583</v>
      </c>
      <c r="G3" s="493" t="s">
        <v>1584</v>
      </c>
      <c r="H3" s="493" t="s">
        <v>1585</v>
      </c>
    </row>
    <row r="4" spans="1:8" s="495" customFormat="1" x14ac:dyDescent="0.2">
      <c r="A4" s="494" t="s">
        <v>2005</v>
      </c>
      <c r="B4" s="494" t="s">
        <v>40</v>
      </c>
      <c r="C4" s="494" t="s">
        <v>448</v>
      </c>
      <c r="D4" s="494" t="s">
        <v>2208</v>
      </c>
      <c r="E4" s="494" t="s">
        <v>1587</v>
      </c>
      <c r="F4" s="504">
        <f>'MCS Budget - Detailed'!N2</f>
        <v>1894251</v>
      </c>
      <c r="G4" s="495" t="s">
        <v>448</v>
      </c>
    </row>
    <row r="5" spans="1:8" s="495" customFormat="1" x14ac:dyDescent="0.2">
      <c r="A5" s="494" t="s">
        <v>2005</v>
      </c>
      <c r="B5" s="494" t="s">
        <v>40</v>
      </c>
      <c r="C5" s="494" t="s">
        <v>448</v>
      </c>
      <c r="D5" s="494" t="s">
        <v>1586</v>
      </c>
      <c r="E5" s="494" t="s">
        <v>1587</v>
      </c>
      <c r="F5" s="504">
        <f>'MCS Budget - Detailed'!N4</f>
        <v>610000</v>
      </c>
      <c r="G5" s="495" t="s">
        <v>448</v>
      </c>
    </row>
    <row r="6" spans="1:8" x14ac:dyDescent="0.2">
      <c r="A6" s="496" t="s">
        <v>2005</v>
      </c>
      <c r="B6" s="496" t="s">
        <v>40</v>
      </c>
      <c r="C6" s="496" t="s">
        <v>448</v>
      </c>
      <c r="D6" s="496" t="s">
        <v>1588</v>
      </c>
      <c r="E6" s="496" t="s">
        <v>1587</v>
      </c>
      <c r="F6" s="505">
        <f>'MCS Budget - Detailed'!N5</f>
        <v>150000</v>
      </c>
      <c r="G6" s="497" t="s">
        <v>448</v>
      </c>
    </row>
    <row r="7" spans="1:8" x14ac:dyDescent="0.2">
      <c r="A7" s="494" t="s">
        <v>2005</v>
      </c>
      <c r="B7" s="496" t="s">
        <v>40</v>
      </c>
      <c r="C7" s="496" t="s">
        <v>448</v>
      </c>
      <c r="D7" s="496" t="s">
        <v>1589</v>
      </c>
      <c r="E7" s="496" t="s">
        <v>1587</v>
      </c>
      <c r="F7" s="505">
        <f>'MCS Budget - Detailed'!N6</f>
        <v>5000</v>
      </c>
      <c r="G7" s="497" t="s">
        <v>448</v>
      </c>
    </row>
    <row r="8" spans="1:8" x14ac:dyDescent="0.2">
      <c r="A8" s="496" t="s">
        <v>2005</v>
      </c>
      <c r="B8" s="496" t="s">
        <v>40</v>
      </c>
      <c r="C8" s="496" t="s">
        <v>448</v>
      </c>
      <c r="D8" s="496" t="s">
        <v>1590</v>
      </c>
      <c r="E8" s="496" t="s">
        <v>1587</v>
      </c>
      <c r="F8" s="505">
        <f>'MCS Budget - Detailed'!N7</f>
        <v>125000</v>
      </c>
      <c r="G8" s="497" t="s">
        <v>448</v>
      </c>
    </row>
    <row r="9" spans="1:8" x14ac:dyDescent="0.2">
      <c r="A9" s="494" t="s">
        <v>2005</v>
      </c>
      <c r="B9" s="496" t="s">
        <v>40</v>
      </c>
      <c r="C9" s="496" t="s">
        <v>448</v>
      </c>
      <c r="D9" s="496" t="s">
        <v>2533</v>
      </c>
      <c r="E9" s="496" t="s">
        <v>1587</v>
      </c>
      <c r="F9" s="505">
        <f>'MCS Budget - Detailed'!N9</f>
        <v>30</v>
      </c>
      <c r="G9" s="497" t="s">
        <v>448</v>
      </c>
    </row>
    <row r="10" spans="1:8" x14ac:dyDescent="0.2">
      <c r="A10" s="494" t="s">
        <v>2005</v>
      </c>
      <c r="B10" s="496" t="s">
        <v>40</v>
      </c>
      <c r="C10" s="496" t="s">
        <v>448</v>
      </c>
      <c r="D10" s="496" t="s">
        <v>1591</v>
      </c>
      <c r="E10" s="496" t="s">
        <v>1587</v>
      </c>
      <c r="F10" s="505">
        <f>'MCS Budget - Detailed'!N10</f>
        <v>200</v>
      </c>
      <c r="G10" s="497" t="s">
        <v>448</v>
      </c>
    </row>
    <row r="11" spans="1:8" x14ac:dyDescent="0.2">
      <c r="A11" s="496" t="s">
        <v>2005</v>
      </c>
      <c r="B11" s="496" t="s">
        <v>40</v>
      </c>
      <c r="C11" s="496" t="s">
        <v>448</v>
      </c>
      <c r="D11" s="496" t="s">
        <v>1592</v>
      </c>
      <c r="E11" s="496" t="s">
        <v>1587</v>
      </c>
      <c r="F11" s="505">
        <f>'MCS Budget - Detailed'!N11</f>
        <v>30000</v>
      </c>
      <c r="G11" s="497" t="s">
        <v>448</v>
      </c>
    </row>
    <row r="12" spans="1:8" x14ac:dyDescent="0.2">
      <c r="A12" s="494" t="s">
        <v>2005</v>
      </c>
      <c r="B12" s="496" t="s">
        <v>40</v>
      </c>
      <c r="C12" s="496" t="s">
        <v>448</v>
      </c>
      <c r="D12" s="496" t="s">
        <v>2000</v>
      </c>
      <c r="E12" s="496" t="s">
        <v>1587</v>
      </c>
      <c r="F12" s="505">
        <f>'MCS Budget - Detailed'!N12</f>
        <v>215000</v>
      </c>
      <c r="G12" s="497" t="s">
        <v>448</v>
      </c>
    </row>
    <row r="13" spans="1:8" x14ac:dyDescent="0.2">
      <c r="A13" s="496" t="s">
        <v>2005</v>
      </c>
      <c r="B13" s="496" t="s">
        <v>40</v>
      </c>
      <c r="C13" s="496" t="s">
        <v>448</v>
      </c>
      <c r="D13" s="496" t="s">
        <v>1593</v>
      </c>
      <c r="E13" s="496" t="s">
        <v>1587</v>
      </c>
      <c r="F13" s="505">
        <f>'MCS Budget - Detailed'!N13</f>
        <v>20000</v>
      </c>
      <c r="G13" s="497" t="s">
        <v>448</v>
      </c>
    </row>
    <row r="14" spans="1:8" x14ac:dyDescent="0.2">
      <c r="A14" s="494" t="s">
        <v>2005</v>
      </c>
      <c r="B14" s="496" t="s">
        <v>40</v>
      </c>
      <c r="C14" s="496" t="s">
        <v>448</v>
      </c>
      <c r="D14" s="496" t="s">
        <v>2535</v>
      </c>
      <c r="E14" s="496" t="s">
        <v>1587</v>
      </c>
      <c r="F14" s="505">
        <f>'MCS Budget - Detailed'!N17</f>
        <v>4350</v>
      </c>
      <c r="G14" s="497" t="s">
        <v>448</v>
      </c>
    </row>
    <row r="15" spans="1:8" x14ac:dyDescent="0.2">
      <c r="A15" s="494" t="s">
        <v>2005</v>
      </c>
      <c r="B15" s="496" t="s">
        <v>40</v>
      </c>
      <c r="C15" s="496" t="s">
        <v>448</v>
      </c>
      <c r="D15" s="496" t="s">
        <v>2534</v>
      </c>
      <c r="E15" s="496" t="s">
        <v>1587</v>
      </c>
      <c r="F15" s="505">
        <f>'MCS Budget - Detailed'!N18</f>
        <v>1000</v>
      </c>
      <c r="G15" s="497" t="s">
        <v>448</v>
      </c>
    </row>
    <row r="16" spans="1:8" x14ac:dyDescent="0.2">
      <c r="A16" s="494" t="s">
        <v>2005</v>
      </c>
      <c r="B16" s="496" t="s">
        <v>40</v>
      </c>
      <c r="C16" s="496" t="s">
        <v>448</v>
      </c>
      <c r="D16" s="496" t="s">
        <v>2001</v>
      </c>
      <c r="E16" s="496" t="s">
        <v>1587</v>
      </c>
      <c r="F16" s="505">
        <f>'MCS Budget - Detailed'!N19</f>
        <v>4662</v>
      </c>
      <c r="G16" s="497" t="s">
        <v>448</v>
      </c>
    </row>
    <row r="17" spans="1:7" x14ac:dyDescent="0.2">
      <c r="A17" s="496" t="s">
        <v>2005</v>
      </c>
      <c r="B17" s="496" t="s">
        <v>40</v>
      </c>
      <c r="C17" s="496" t="s">
        <v>448</v>
      </c>
      <c r="D17" s="496" t="s">
        <v>2002</v>
      </c>
      <c r="E17" s="496" t="s">
        <v>1587</v>
      </c>
      <c r="F17" s="505">
        <f>'MCS Budget - Detailed'!N20</f>
        <v>4800</v>
      </c>
      <c r="G17" s="497" t="s">
        <v>448</v>
      </c>
    </row>
    <row r="18" spans="1:7" x14ac:dyDescent="0.2">
      <c r="A18" s="494" t="s">
        <v>2005</v>
      </c>
      <c r="B18" s="496" t="s">
        <v>40</v>
      </c>
      <c r="C18" s="496" t="s">
        <v>448</v>
      </c>
      <c r="D18" s="496" t="s">
        <v>2536</v>
      </c>
      <c r="E18" s="496" t="s">
        <v>1587</v>
      </c>
      <c r="F18" s="505">
        <f>'MCS Budget - Detailed'!N21</f>
        <v>4290</v>
      </c>
      <c r="G18" s="497" t="s">
        <v>448</v>
      </c>
    </row>
    <row r="19" spans="1:7" x14ac:dyDescent="0.2">
      <c r="A19" s="494" t="s">
        <v>2005</v>
      </c>
      <c r="B19" s="496" t="s">
        <v>40</v>
      </c>
      <c r="C19" s="496" t="s">
        <v>448</v>
      </c>
      <c r="D19" s="496" t="s">
        <v>2003</v>
      </c>
      <c r="E19" s="496" t="s">
        <v>1587</v>
      </c>
      <c r="F19" s="505">
        <f>'MCS Budget - Detailed'!N22</f>
        <v>25773</v>
      </c>
      <c r="G19" s="497" t="s">
        <v>448</v>
      </c>
    </row>
    <row r="20" spans="1:7" x14ac:dyDescent="0.2">
      <c r="A20" s="496" t="s">
        <v>2005</v>
      </c>
      <c r="B20" s="496" t="s">
        <v>40</v>
      </c>
      <c r="C20" s="496" t="s">
        <v>448</v>
      </c>
      <c r="D20" s="496" t="s">
        <v>2004</v>
      </c>
      <c r="E20" s="496" t="s">
        <v>1587</v>
      </c>
      <c r="F20" s="505">
        <f>'MCS Budget - Detailed'!N23</f>
        <v>48216</v>
      </c>
      <c r="G20" s="497" t="s">
        <v>448</v>
      </c>
    </row>
    <row r="21" spans="1:7" x14ac:dyDescent="0.2">
      <c r="A21" s="496" t="s">
        <v>2005</v>
      </c>
      <c r="B21" s="496" t="s">
        <v>40</v>
      </c>
      <c r="C21" s="496" t="s">
        <v>448</v>
      </c>
      <c r="D21" s="496" t="s">
        <v>2540</v>
      </c>
      <c r="E21" s="496" t="s">
        <v>1587</v>
      </c>
      <c r="F21" s="505">
        <f>'MCS Budget - Detailed'!N24</f>
        <v>5000</v>
      </c>
      <c r="G21" s="497" t="s">
        <v>448</v>
      </c>
    </row>
    <row r="22" spans="1:7" x14ac:dyDescent="0.2">
      <c r="A22" s="496" t="s">
        <v>2005</v>
      </c>
      <c r="B22" s="496" t="s">
        <v>40</v>
      </c>
      <c r="C22" s="496" t="s">
        <v>448</v>
      </c>
      <c r="D22" s="496" t="s">
        <v>2539</v>
      </c>
      <c r="E22" s="496" t="s">
        <v>1587</v>
      </c>
      <c r="F22" s="505">
        <f>'MCS Budget - Detailed'!N25</f>
        <v>1500</v>
      </c>
      <c r="G22" s="497" t="s">
        <v>448</v>
      </c>
    </row>
    <row r="23" spans="1:7" x14ac:dyDescent="0.2">
      <c r="A23" s="496" t="s">
        <v>2005</v>
      </c>
      <c r="B23" s="496" t="s">
        <v>40</v>
      </c>
      <c r="C23" s="496" t="s">
        <v>448</v>
      </c>
      <c r="D23" s="496" t="s">
        <v>2538</v>
      </c>
      <c r="E23" s="496" t="s">
        <v>1587</v>
      </c>
      <c r="F23" s="505">
        <f>'MCS Budget - Detailed'!N26</f>
        <v>1200</v>
      </c>
      <c r="G23" s="497" t="s">
        <v>448</v>
      </c>
    </row>
    <row r="24" spans="1:7" x14ac:dyDescent="0.2">
      <c r="A24" s="496" t="s">
        <v>2005</v>
      </c>
      <c r="B24" s="496" t="s">
        <v>40</v>
      </c>
      <c r="C24" s="496" t="s">
        <v>448</v>
      </c>
      <c r="D24" s="496" t="s">
        <v>2537</v>
      </c>
      <c r="E24" s="496" t="s">
        <v>1587</v>
      </c>
      <c r="F24" s="505">
        <f>'MCS Budget - Detailed'!N27</f>
        <v>1000</v>
      </c>
      <c r="G24" s="497" t="s">
        <v>448</v>
      </c>
    </row>
    <row r="25" spans="1:7" x14ac:dyDescent="0.2">
      <c r="A25" s="496" t="s">
        <v>2005</v>
      </c>
      <c r="B25" s="496" t="s">
        <v>40</v>
      </c>
      <c r="C25" s="496" t="s">
        <v>448</v>
      </c>
      <c r="D25" s="496" t="s">
        <v>1594</v>
      </c>
      <c r="E25" s="496" t="s">
        <v>1587</v>
      </c>
      <c r="F25" s="505">
        <f>'MCS Budget - Detailed'!N29</f>
        <v>2400</v>
      </c>
      <c r="G25" s="497" t="s">
        <v>448</v>
      </c>
    </row>
    <row r="26" spans="1:7" x14ac:dyDescent="0.2">
      <c r="A26" s="496" t="s">
        <v>2005</v>
      </c>
      <c r="B26" s="496" t="s">
        <v>40</v>
      </c>
      <c r="C26" s="496" t="s">
        <v>448</v>
      </c>
      <c r="D26" s="496" t="s">
        <v>2541</v>
      </c>
      <c r="E26" s="496" t="s">
        <v>1587</v>
      </c>
      <c r="F26" s="505">
        <f>'MCS Budget - Detailed'!N30</f>
        <v>4865</v>
      </c>
      <c r="G26" s="497" t="s">
        <v>448</v>
      </c>
    </row>
    <row r="27" spans="1:7" x14ac:dyDescent="0.2">
      <c r="A27" s="496" t="s">
        <v>2005</v>
      </c>
      <c r="B27" s="496" t="s">
        <v>40</v>
      </c>
      <c r="C27" s="496" t="s">
        <v>448</v>
      </c>
      <c r="D27" s="496" t="s">
        <v>1595</v>
      </c>
      <c r="E27" s="496" t="s">
        <v>1587</v>
      </c>
      <c r="F27" s="505">
        <f>'MCS Budget - Detailed'!N31</f>
        <v>7000</v>
      </c>
      <c r="G27" s="497" t="s">
        <v>448</v>
      </c>
    </row>
    <row r="28" spans="1:7" x14ac:dyDescent="0.2">
      <c r="A28" s="494" t="s">
        <v>2005</v>
      </c>
      <c r="B28" s="496" t="s">
        <v>40</v>
      </c>
      <c r="C28" s="496" t="s">
        <v>448</v>
      </c>
      <c r="D28" s="496" t="s">
        <v>1596</v>
      </c>
      <c r="E28" s="496" t="s">
        <v>1587</v>
      </c>
      <c r="F28" s="505">
        <f>'MCS Budget - Detailed'!N32</f>
        <v>46</v>
      </c>
      <c r="G28" s="497" t="s">
        <v>448</v>
      </c>
    </row>
    <row r="29" spans="1:7" x14ac:dyDescent="0.2">
      <c r="A29" s="494" t="s">
        <v>2005</v>
      </c>
      <c r="B29" s="496" t="s">
        <v>40</v>
      </c>
      <c r="C29" s="496" t="s">
        <v>448</v>
      </c>
      <c r="D29" s="496" t="s">
        <v>2006</v>
      </c>
      <c r="E29" s="496" t="s">
        <v>1587</v>
      </c>
      <c r="F29" s="505">
        <f>'MCS Budget - Detailed'!N33</f>
        <v>1087</v>
      </c>
      <c r="G29" s="497" t="s">
        <v>448</v>
      </c>
    </row>
    <row r="30" spans="1:7" x14ac:dyDescent="0.2">
      <c r="A30" s="496" t="s">
        <v>2005</v>
      </c>
      <c r="B30" s="496" t="s">
        <v>40</v>
      </c>
      <c r="C30" s="496" t="s">
        <v>448</v>
      </c>
      <c r="D30" s="496" t="s">
        <v>1597</v>
      </c>
      <c r="E30" s="496" t="s">
        <v>1587</v>
      </c>
      <c r="F30" s="505">
        <f>'MCS Budget - Detailed'!N34</f>
        <v>4239</v>
      </c>
      <c r="G30" s="497" t="s">
        <v>448</v>
      </c>
    </row>
    <row r="31" spans="1:7" x14ac:dyDescent="0.2">
      <c r="A31" s="494" t="s">
        <v>2005</v>
      </c>
      <c r="B31" s="496" t="s">
        <v>40</v>
      </c>
      <c r="C31" s="496" t="s">
        <v>448</v>
      </c>
      <c r="D31" s="496" t="s">
        <v>1598</v>
      </c>
      <c r="E31" s="496" t="s">
        <v>1587</v>
      </c>
      <c r="F31" s="505">
        <f>'MCS Budget - Detailed'!N35</f>
        <v>37013</v>
      </c>
      <c r="G31" s="497" t="s">
        <v>448</v>
      </c>
    </row>
    <row r="32" spans="1:7" x14ac:dyDescent="0.2">
      <c r="A32" s="496" t="s">
        <v>2005</v>
      </c>
      <c r="B32" s="496" t="s">
        <v>40</v>
      </c>
      <c r="C32" s="496" t="s">
        <v>448</v>
      </c>
      <c r="D32" s="496" t="s">
        <v>2007</v>
      </c>
      <c r="E32" s="496" t="s">
        <v>1587</v>
      </c>
      <c r="F32" s="505">
        <f>'MCS Budget - Detailed'!N36</f>
        <v>107614</v>
      </c>
      <c r="G32" s="497" t="s">
        <v>448</v>
      </c>
    </row>
    <row r="33" spans="1:7" x14ac:dyDescent="0.2">
      <c r="A33" s="494" t="s">
        <v>2005</v>
      </c>
      <c r="B33" s="496" t="s">
        <v>40</v>
      </c>
      <c r="C33" s="496" t="s">
        <v>448</v>
      </c>
      <c r="D33" s="496" t="s">
        <v>1599</v>
      </c>
      <c r="E33" s="496" t="s">
        <v>1587</v>
      </c>
      <c r="F33" s="505">
        <f>'MCS Budget - Detailed'!N37</f>
        <v>8310</v>
      </c>
      <c r="G33" s="497" t="s">
        <v>448</v>
      </c>
    </row>
    <row r="34" spans="1:7" x14ac:dyDescent="0.2">
      <c r="A34" s="494" t="s">
        <v>2005</v>
      </c>
      <c r="B34" s="496" t="s">
        <v>40</v>
      </c>
      <c r="C34" s="496" t="s">
        <v>448</v>
      </c>
      <c r="D34" s="496" t="s">
        <v>1600</v>
      </c>
      <c r="E34" s="496" t="s">
        <v>1587</v>
      </c>
      <c r="F34" s="505">
        <f>'MCS Budget - Detailed'!N38</f>
        <v>4500</v>
      </c>
      <c r="G34" s="497" t="s">
        <v>448</v>
      </c>
    </row>
    <row r="35" spans="1:7" x14ac:dyDescent="0.2">
      <c r="A35" s="496" t="s">
        <v>2005</v>
      </c>
      <c r="B35" s="496" t="s">
        <v>40</v>
      </c>
      <c r="C35" s="496" t="s">
        <v>448</v>
      </c>
      <c r="D35" s="496" t="s">
        <v>2542</v>
      </c>
      <c r="E35" s="496" t="s">
        <v>1587</v>
      </c>
      <c r="F35" s="505">
        <f>'MCS Budget - Detailed'!N39</f>
        <v>94500</v>
      </c>
      <c r="G35" s="497" t="s">
        <v>448</v>
      </c>
    </row>
    <row r="36" spans="1:7" x14ac:dyDescent="0.2">
      <c r="A36" s="496" t="s">
        <v>2005</v>
      </c>
      <c r="B36" s="496" t="s">
        <v>40</v>
      </c>
      <c r="C36" s="496" t="s">
        <v>448</v>
      </c>
      <c r="D36" s="496" t="s">
        <v>1601</v>
      </c>
      <c r="E36" s="496" t="s">
        <v>1587</v>
      </c>
      <c r="F36" s="505">
        <f>'MCS Budget - Detailed'!N40</f>
        <v>36535</v>
      </c>
      <c r="G36" s="497" t="s">
        <v>448</v>
      </c>
    </row>
    <row r="37" spans="1:7" x14ac:dyDescent="0.2">
      <c r="A37" s="496" t="s">
        <v>2005</v>
      </c>
      <c r="B37" s="496" t="s">
        <v>40</v>
      </c>
      <c r="C37" s="496" t="s">
        <v>448</v>
      </c>
      <c r="D37" s="496" t="s">
        <v>2008</v>
      </c>
      <c r="E37" s="496" t="s">
        <v>1587</v>
      </c>
      <c r="F37" s="505">
        <f>'MCS Budget - Detailed'!N41</f>
        <v>1500</v>
      </c>
      <c r="G37" s="497" t="s">
        <v>448</v>
      </c>
    </row>
    <row r="38" spans="1:7" x14ac:dyDescent="0.2">
      <c r="A38" s="494" t="s">
        <v>2005</v>
      </c>
      <c r="B38" s="496" t="s">
        <v>40</v>
      </c>
      <c r="C38" s="496" t="s">
        <v>448</v>
      </c>
      <c r="D38" s="496" t="s">
        <v>2544</v>
      </c>
      <c r="E38" s="496" t="s">
        <v>1587</v>
      </c>
      <c r="F38" s="505">
        <f>'MCS Budget - Detailed'!N42</f>
        <v>10607</v>
      </c>
      <c r="G38" s="497" t="s">
        <v>448</v>
      </c>
    </row>
    <row r="39" spans="1:7" x14ac:dyDescent="0.2">
      <c r="A39" s="494" t="s">
        <v>2005</v>
      </c>
      <c r="B39" s="496" t="s">
        <v>40</v>
      </c>
      <c r="C39" s="496" t="s">
        <v>448</v>
      </c>
      <c r="D39" s="496" t="s">
        <v>2543</v>
      </c>
      <c r="E39" s="496" t="s">
        <v>1587</v>
      </c>
      <c r="F39" s="505">
        <f>'MCS Budget - Detailed'!N43</f>
        <v>39375</v>
      </c>
      <c r="G39" s="497" t="s">
        <v>448</v>
      </c>
    </row>
    <row r="40" spans="1:7" x14ac:dyDescent="0.2">
      <c r="A40" s="494" t="s">
        <v>2005</v>
      </c>
      <c r="B40" s="496" t="s">
        <v>40</v>
      </c>
      <c r="C40" s="496" t="s">
        <v>448</v>
      </c>
      <c r="D40" s="496" t="s">
        <v>1602</v>
      </c>
      <c r="E40" s="496" t="s">
        <v>1587</v>
      </c>
      <c r="F40" s="505">
        <f>'MCS Budget - Detailed'!N44</f>
        <v>2573779</v>
      </c>
      <c r="G40" s="497" t="s">
        <v>448</v>
      </c>
    </row>
    <row r="41" spans="1:7" x14ac:dyDescent="0.2">
      <c r="A41" s="496" t="s">
        <v>2005</v>
      </c>
      <c r="B41" s="496" t="s">
        <v>40</v>
      </c>
      <c r="C41" s="496" t="s">
        <v>448</v>
      </c>
      <c r="D41" s="496" t="s">
        <v>2546</v>
      </c>
      <c r="E41" s="496" t="s">
        <v>1587</v>
      </c>
      <c r="F41" s="505">
        <f>'MCS Budget - Detailed'!N45</f>
        <v>1494</v>
      </c>
      <c r="G41" s="497" t="s">
        <v>448</v>
      </c>
    </row>
    <row r="42" spans="1:7" x14ac:dyDescent="0.2">
      <c r="A42" s="496" t="s">
        <v>2005</v>
      </c>
      <c r="B42" s="496" t="s">
        <v>40</v>
      </c>
      <c r="C42" s="496" t="s">
        <v>448</v>
      </c>
      <c r="D42" s="496" t="s">
        <v>2545</v>
      </c>
      <c r="E42" s="496" t="s">
        <v>1587</v>
      </c>
      <c r="F42" s="505">
        <f>'MCS Budget - Detailed'!N46</f>
        <v>-1186</v>
      </c>
      <c r="G42" s="497" t="s">
        <v>448</v>
      </c>
    </row>
    <row r="43" spans="1:7" x14ac:dyDescent="0.2">
      <c r="A43" s="496" t="s">
        <v>2005</v>
      </c>
      <c r="B43" s="496" t="s">
        <v>40</v>
      </c>
      <c r="C43" s="496" t="s">
        <v>448</v>
      </c>
      <c r="D43" s="496" t="s">
        <v>1603</v>
      </c>
      <c r="E43" s="496" t="s">
        <v>1587</v>
      </c>
      <c r="F43" s="505">
        <f>'MCS Budget - Detailed'!N48</f>
        <v>2800</v>
      </c>
      <c r="G43" s="497" t="s">
        <v>448</v>
      </c>
    </row>
    <row r="44" spans="1:7" x14ac:dyDescent="0.2">
      <c r="A44" s="494" t="s">
        <v>2005</v>
      </c>
      <c r="B44" s="496" t="s">
        <v>40</v>
      </c>
      <c r="C44" s="496" t="s">
        <v>448</v>
      </c>
      <c r="D44" s="496" t="s">
        <v>1604</v>
      </c>
      <c r="E44" s="496" t="s">
        <v>1587</v>
      </c>
      <c r="F44" s="505">
        <f>'MCS Budget - Detailed'!N50</f>
        <v>102604</v>
      </c>
      <c r="G44" s="497" t="s">
        <v>448</v>
      </c>
    </row>
    <row r="45" spans="1:7" x14ac:dyDescent="0.2">
      <c r="A45" s="496" t="s">
        <v>2005</v>
      </c>
      <c r="B45" s="496" t="s">
        <v>40</v>
      </c>
      <c r="C45" s="496" t="s">
        <v>448</v>
      </c>
      <c r="D45" s="496" t="s">
        <v>1605</v>
      </c>
      <c r="E45" s="496" t="s">
        <v>1587</v>
      </c>
      <c r="F45" s="505">
        <f>'MCS Budget - Detailed'!N51</f>
        <v>16421</v>
      </c>
      <c r="G45" s="497" t="s">
        <v>448</v>
      </c>
    </row>
    <row r="46" spans="1:7" x14ac:dyDescent="0.2">
      <c r="A46" s="496" t="s">
        <v>2005</v>
      </c>
      <c r="B46" s="496" t="s">
        <v>40</v>
      </c>
      <c r="C46" s="496" t="s">
        <v>448</v>
      </c>
      <c r="D46" s="496" t="s">
        <v>2009</v>
      </c>
      <c r="E46" s="496" t="s">
        <v>1587</v>
      </c>
      <c r="F46" s="505">
        <f>'MCS Budget - Detailed'!N52</f>
        <v>8665</v>
      </c>
      <c r="G46" s="497" t="s">
        <v>448</v>
      </c>
    </row>
    <row r="47" spans="1:7" x14ac:dyDescent="0.2">
      <c r="A47" s="494" t="s">
        <v>2005</v>
      </c>
      <c r="B47" s="496" t="s">
        <v>40</v>
      </c>
      <c r="C47" s="496" t="s">
        <v>448</v>
      </c>
      <c r="D47" s="496" t="s">
        <v>2547</v>
      </c>
      <c r="E47" s="496" t="s">
        <v>1587</v>
      </c>
      <c r="F47" s="505">
        <f>'MCS Budget - Detailed'!N54</f>
        <v>130111</v>
      </c>
      <c r="G47" s="497" t="s">
        <v>448</v>
      </c>
    </row>
    <row r="48" spans="1:7" x14ac:dyDescent="0.2">
      <c r="A48" s="494" t="s">
        <v>2005</v>
      </c>
      <c r="B48" s="496" t="s">
        <v>40</v>
      </c>
      <c r="C48" s="496" t="s">
        <v>448</v>
      </c>
      <c r="D48" s="496" t="s">
        <v>1606</v>
      </c>
      <c r="E48" s="496" t="s">
        <v>1587</v>
      </c>
      <c r="F48" s="505">
        <f>'MCS Budget - Detailed'!N55</f>
        <v>8289</v>
      </c>
      <c r="G48" s="497" t="s">
        <v>448</v>
      </c>
    </row>
    <row r="49" spans="1:8" x14ac:dyDescent="0.2">
      <c r="A49" s="496" t="s">
        <v>2005</v>
      </c>
      <c r="B49" s="496" t="s">
        <v>40</v>
      </c>
      <c r="C49" s="496" t="s">
        <v>448</v>
      </c>
      <c r="D49" s="496" t="s">
        <v>1607</v>
      </c>
      <c r="E49" s="496" t="s">
        <v>1587</v>
      </c>
      <c r="F49" s="505">
        <f>'MCS Budget - Detailed'!N56</f>
        <v>-100000</v>
      </c>
      <c r="G49" s="497" t="s">
        <v>448</v>
      </c>
    </row>
    <row r="50" spans="1:8" x14ac:dyDescent="0.2">
      <c r="A50" s="494" t="s">
        <v>2005</v>
      </c>
      <c r="B50" s="496" t="s">
        <v>40</v>
      </c>
      <c r="C50" s="496" t="s">
        <v>448</v>
      </c>
      <c r="D50" s="496" t="s">
        <v>2010</v>
      </c>
      <c r="E50" s="496" t="s">
        <v>1587</v>
      </c>
      <c r="F50" s="505">
        <f>'MCS Budget - Detailed'!N57</f>
        <v>-62000</v>
      </c>
      <c r="G50" s="497" t="s">
        <v>448</v>
      </c>
    </row>
    <row r="51" spans="1:8" x14ac:dyDescent="0.2">
      <c r="A51" s="496" t="s">
        <v>2005</v>
      </c>
      <c r="B51" s="496" t="s">
        <v>40</v>
      </c>
      <c r="C51" s="496" t="s">
        <v>448</v>
      </c>
      <c r="D51" s="496" t="s">
        <v>2220</v>
      </c>
      <c r="E51" s="496" t="s">
        <v>1587</v>
      </c>
      <c r="F51" s="505">
        <f>'MCS Budget - Detailed'!N60</f>
        <v>-1324565</v>
      </c>
      <c r="G51" s="497" t="s">
        <v>448</v>
      </c>
    </row>
    <row r="52" spans="1:8" x14ac:dyDescent="0.2">
      <c r="A52" s="494" t="s">
        <v>2005</v>
      </c>
      <c r="B52" s="496" t="s">
        <v>40</v>
      </c>
      <c r="C52" s="496" t="s">
        <v>448</v>
      </c>
      <c r="D52" s="496" t="s">
        <v>2693</v>
      </c>
      <c r="E52" s="496" t="s">
        <v>1587</v>
      </c>
      <c r="F52" s="505">
        <f>'MCS Budget - Detailed'!N61</f>
        <v>-166750</v>
      </c>
      <c r="G52" s="497" t="s">
        <v>448</v>
      </c>
      <c r="H52" s="506">
        <f>SUM(F4:F52)</f>
        <v>4700525</v>
      </c>
    </row>
    <row r="53" spans="1:8" x14ac:dyDescent="0.2">
      <c r="A53" s="496" t="s">
        <v>2005</v>
      </c>
      <c r="B53" s="496" t="s">
        <v>40</v>
      </c>
      <c r="C53" s="496" t="s">
        <v>448</v>
      </c>
      <c r="D53" s="496" t="s">
        <v>1608</v>
      </c>
      <c r="E53" s="496" t="s">
        <v>1609</v>
      </c>
      <c r="F53" s="505">
        <f>'MCS Budget - Detailed'!N64</f>
        <v>43049</v>
      </c>
      <c r="G53" s="497" t="s">
        <v>448</v>
      </c>
    </row>
    <row r="54" spans="1:8" x14ac:dyDescent="0.2">
      <c r="A54" s="494" t="s">
        <v>2005</v>
      </c>
      <c r="B54" s="496" t="s">
        <v>40</v>
      </c>
      <c r="C54" s="496" t="s">
        <v>448</v>
      </c>
      <c r="D54" s="496" t="s">
        <v>1610</v>
      </c>
      <c r="E54" s="496" t="s">
        <v>1609</v>
      </c>
      <c r="F54" s="505">
        <f>'MCS Budget - Detailed'!N65</f>
        <v>900</v>
      </c>
      <c r="G54" s="497" t="s">
        <v>448</v>
      </c>
    </row>
    <row r="55" spans="1:8" x14ac:dyDescent="0.2">
      <c r="A55" s="496" t="s">
        <v>2005</v>
      </c>
      <c r="B55" s="496" t="s">
        <v>40</v>
      </c>
      <c r="C55" s="496" t="s">
        <v>448</v>
      </c>
      <c r="D55" s="496" t="s">
        <v>2548</v>
      </c>
      <c r="E55" s="496" t="s">
        <v>1609</v>
      </c>
      <c r="F55" s="505">
        <f>'MCS Budget - Detailed'!N66</f>
        <v>580</v>
      </c>
      <c r="G55" s="497" t="s">
        <v>448</v>
      </c>
    </row>
    <row r="56" spans="1:8" x14ac:dyDescent="0.2">
      <c r="A56" s="496" t="s">
        <v>2005</v>
      </c>
      <c r="B56" s="496" t="s">
        <v>40</v>
      </c>
      <c r="C56" s="496" t="s">
        <v>448</v>
      </c>
      <c r="D56" s="496" t="s">
        <v>1611</v>
      </c>
      <c r="E56" s="496" t="s">
        <v>1609</v>
      </c>
      <c r="F56" s="505">
        <f>'MCS Budget - Detailed'!N67</f>
        <v>66</v>
      </c>
      <c r="G56" s="497" t="s">
        <v>448</v>
      </c>
    </row>
    <row r="57" spans="1:8" x14ac:dyDescent="0.2">
      <c r="A57" s="494" t="s">
        <v>2005</v>
      </c>
      <c r="B57" s="496" t="s">
        <v>40</v>
      </c>
      <c r="C57" s="496" t="s">
        <v>448</v>
      </c>
      <c r="D57" s="496" t="s">
        <v>1612</v>
      </c>
      <c r="E57" s="496" t="s">
        <v>1609</v>
      </c>
      <c r="F57" s="505">
        <f>'MCS Budget - Detailed'!N68</f>
        <v>134</v>
      </c>
      <c r="G57" s="497" t="s">
        <v>448</v>
      </c>
    </row>
    <row r="58" spans="1:8" x14ac:dyDescent="0.2">
      <c r="A58" s="496" t="s">
        <v>2005</v>
      </c>
      <c r="B58" s="496" t="s">
        <v>40</v>
      </c>
      <c r="C58" s="496" t="s">
        <v>448</v>
      </c>
      <c r="D58" s="496" t="s">
        <v>1613</v>
      </c>
      <c r="E58" s="496" t="s">
        <v>1609</v>
      </c>
      <c r="F58" s="505">
        <f>'MCS Budget - Detailed'!N69</f>
        <v>646</v>
      </c>
      <c r="G58" s="497" t="s">
        <v>448</v>
      </c>
    </row>
    <row r="59" spans="1:8" x14ac:dyDescent="0.2">
      <c r="A59" s="494" t="s">
        <v>2005</v>
      </c>
      <c r="B59" s="496" t="s">
        <v>40</v>
      </c>
      <c r="C59" s="496" t="s">
        <v>448</v>
      </c>
      <c r="D59" s="496" t="s">
        <v>1614</v>
      </c>
      <c r="E59" s="496" t="s">
        <v>1609</v>
      </c>
      <c r="F59" s="505">
        <f>'MCS Budget - Detailed'!N70</f>
        <v>9084</v>
      </c>
      <c r="G59" s="497" t="s">
        <v>448</v>
      </c>
    </row>
    <row r="60" spans="1:8" x14ac:dyDescent="0.2">
      <c r="A60" s="496" t="s">
        <v>2005</v>
      </c>
      <c r="B60" s="496" t="s">
        <v>40</v>
      </c>
      <c r="C60" s="496" t="s">
        <v>448</v>
      </c>
      <c r="D60" s="496" t="s">
        <v>1615</v>
      </c>
      <c r="E60" s="496" t="s">
        <v>1609</v>
      </c>
      <c r="F60" s="505">
        <f>'MCS Budget - Detailed'!N71</f>
        <v>6169</v>
      </c>
      <c r="G60" s="497" t="s">
        <v>448</v>
      </c>
    </row>
    <row r="61" spans="1:8" x14ac:dyDescent="0.2">
      <c r="A61" s="494" t="s">
        <v>2005</v>
      </c>
      <c r="B61" s="496" t="s">
        <v>40</v>
      </c>
      <c r="C61" s="496" t="s">
        <v>448</v>
      </c>
      <c r="D61" s="496" t="s">
        <v>2694</v>
      </c>
      <c r="E61" s="496" t="s">
        <v>1609</v>
      </c>
      <c r="F61" s="505">
        <f>'MCS Budget - Detailed'!N72</f>
        <v>880</v>
      </c>
      <c r="G61" s="497" t="s">
        <v>448</v>
      </c>
    </row>
    <row r="62" spans="1:8" x14ac:dyDescent="0.2">
      <c r="A62" s="494" t="s">
        <v>2005</v>
      </c>
      <c r="B62" s="496" t="s">
        <v>40</v>
      </c>
      <c r="C62" s="496" t="s">
        <v>448</v>
      </c>
      <c r="D62" s="496" t="s">
        <v>1616</v>
      </c>
      <c r="E62" s="496" t="s">
        <v>1609</v>
      </c>
      <c r="F62" s="505">
        <f>'MCS Budget - Detailed'!N73</f>
        <v>300</v>
      </c>
      <c r="G62" s="497" t="s">
        <v>448</v>
      </c>
    </row>
    <row r="63" spans="1:8" x14ac:dyDescent="0.2">
      <c r="A63" s="496" t="s">
        <v>2005</v>
      </c>
      <c r="B63" s="496" t="s">
        <v>40</v>
      </c>
      <c r="C63" s="496" t="s">
        <v>448</v>
      </c>
      <c r="D63" s="496" t="s">
        <v>2549</v>
      </c>
      <c r="E63" s="496" t="s">
        <v>1609</v>
      </c>
      <c r="F63" s="505">
        <f>'MCS Budget - Detailed'!N74</f>
        <v>10607</v>
      </c>
      <c r="G63" s="497" t="s">
        <v>448</v>
      </c>
    </row>
    <row r="64" spans="1:8" x14ac:dyDescent="0.2">
      <c r="A64" s="496" t="s">
        <v>2005</v>
      </c>
      <c r="B64" s="496" t="s">
        <v>40</v>
      </c>
      <c r="C64" s="496" t="s">
        <v>448</v>
      </c>
      <c r="D64" s="496" t="s">
        <v>1617</v>
      </c>
      <c r="E64" s="496" t="s">
        <v>1609</v>
      </c>
      <c r="F64" s="505">
        <f>'MCS Budget - Detailed'!N76</f>
        <v>17195</v>
      </c>
      <c r="G64" s="497" t="s">
        <v>448</v>
      </c>
    </row>
    <row r="65" spans="1:7" x14ac:dyDescent="0.2">
      <c r="A65" s="494" t="s">
        <v>2005</v>
      </c>
      <c r="B65" s="496" t="s">
        <v>40</v>
      </c>
      <c r="C65" s="496" t="s">
        <v>448</v>
      </c>
      <c r="D65" s="496" t="s">
        <v>1618</v>
      </c>
      <c r="E65" s="496" t="s">
        <v>1609</v>
      </c>
      <c r="F65" s="505">
        <f>'MCS Budget - Detailed'!N77</f>
        <v>450</v>
      </c>
      <c r="G65" s="497" t="s">
        <v>448</v>
      </c>
    </row>
    <row r="66" spans="1:7" x14ac:dyDescent="0.2">
      <c r="A66" s="494" t="s">
        <v>2005</v>
      </c>
      <c r="B66" s="496" t="s">
        <v>40</v>
      </c>
      <c r="C66" s="496" t="s">
        <v>448</v>
      </c>
      <c r="D66" s="496" t="s">
        <v>2011</v>
      </c>
      <c r="E66" s="496" t="s">
        <v>1609</v>
      </c>
      <c r="F66" s="505">
        <f>'MCS Budget - Detailed'!N78</f>
        <v>8222</v>
      </c>
      <c r="G66" s="497" t="s">
        <v>448</v>
      </c>
    </row>
    <row r="67" spans="1:7" x14ac:dyDescent="0.2">
      <c r="A67" s="496" t="s">
        <v>2005</v>
      </c>
      <c r="B67" s="496" t="s">
        <v>40</v>
      </c>
      <c r="C67" s="496" t="s">
        <v>448</v>
      </c>
      <c r="D67" s="496" t="s">
        <v>1619</v>
      </c>
      <c r="E67" s="496" t="s">
        <v>1609</v>
      </c>
      <c r="F67" s="505">
        <f>'MCS Budget - Detailed'!N79</f>
        <v>33</v>
      </c>
      <c r="G67" s="497" t="s">
        <v>448</v>
      </c>
    </row>
    <row r="68" spans="1:7" x14ac:dyDescent="0.2">
      <c r="A68" s="494" t="s">
        <v>2005</v>
      </c>
      <c r="B68" s="496" t="s">
        <v>40</v>
      </c>
      <c r="C68" s="496" t="s">
        <v>448</v>
      </c>
      <c r="D68" s="496" t="s">
        <v>1620</v>
      </c>
      <c r="E68" s="496" t="s">
        <v>1609</v>
      </c>
      <c r="F68" s="505">
        <f>'MCS Budget - Detailed'!N80</f>
        <v>53</v>
      </c>
      <c r="G68" s="497" t="s">
        <v>448</v>
      </c>
    </row>
    <row r="69" spans="1:7" x14ac:dyDescent="0.2">
      <c r="A69" s="494" t="s">
        <v>2005</v>
      </c>
      <c r="B69" s="496" t="s">
        <v>40</v>
      </c>
      <c r="C69" s="496" t="s">
        <v>448</v>
      </c>
      <c r="D69" s="496" t="s">
        <v>2012</v>
      </c>
      <c r="E69" s="496" t="s">
        <v>1609</v>
      </c>
      <c r="F69" s="505">
        <f>'MCS Budget - Detailed'!N81</f>
        <v>25</v>
      </c>
      <c r="G69" s="497" t="s">
        <v>448</v>
      </c>
    </row>
    <row r="70" spans="1:7" x14ac:dyDescent="0.2">
      <c r="A70" s="496" t="s">
        <v>2005</v>
      </c>
      <c r="B70" s="496" t="s">
        <v>40</v>
      </c>
      <c r="C70" s="496" t="s">
        <v>448</v>
      </c>
      <c r="D70" s="496" t="s">
        <v>1621</v>
      </c>
      <c r="E70" s="496" t="s">
        <v>1609</v>
      </c>
      <c r="F70" s="505">
        <f>'MCS Budget - Detailed'!N82</f>
        <v>256</v>
      </c>
      <c r="G70" s="497" t="s">
        <v>448</v>
      </c>
    </row>
    <row r="71" spans="1:7" x14ac:dyDescent="0.2">
      <c r="A71" s="496" t="s">
        <v>2005</v>
      </c>
      <c r="B71" s="496" t="s">
        <v>40</v>
      </c>
      <c r="C71" s="496" t="s">
        <v>448</v>
      </c>
      <c r="D71" s="496" t="s">
        <v>2013</v>
      </c>
      <c r="E71" s="496" t="s">
        <v>1609</v>
      </c>
      <c r="F71" s="505">
        <f>'MCS Budget - Detailed'!N83</f>
        <v>120</v>
      </c>
      <c r="G71" s="497" t="s">
        <v>448</v>
      </c>
    </row>
    <row r="72" spans="1:7" x14ac:dyDescent="0.2">
      <c r="A72" s="494" t="s">
        <v>2005</v>
      </c>
      <c r="B72" s="496" t="s">
        <v>40</v>
      </c>
      <c r="C72" s="496" t="s">
        <v>448</v>
      </c>
      <c r="D72" s="496" t="s">
        <v>1622</v>
      </c>
      <c r="E72" s="496" t="s">
        <v>1609</v>
      </c>
      <c r="F72" s="505">
        <f>'MCS Budget - Detailed'!N84</f>
        <v>3600</v>
      </c>
      <c r="G72" s="497" t="s">
        <v>448</v>
      </c>
    </row>
    <row r="73" spans="1:7" x14ac:dyDescent="0.2">
      <c r="A73" s="494" t="s">
        <v>2005</v>
      </c>
      <c r="B73" s="496" t="s">
        <v>40</v>
      </c>
      <c r="C73" s="496" t="s">
        <v>448</v>
      </c>
      <c r="D73" s="496" t="s">
        <v>2014</v>
      </c>
      <c r="E73" s="496" t="s">
        <v>1609</v>
      </c>
      <c r="F73" s="505">
        <f>'MCS Budget - Detailed'!N85</f>
        <v>1678</v>
      </c>
      <c r="G73" s="497" t="s">
        <v>448</v>
      </c>
    </row>
    <row r="74" spans="1:7" x14ac:dyDescent="0.2">
      <c r="A74" s="496" t="s">
        <v>2005</v>
      </c>
      <c r="B74" s="496" t="s">
        <v>40</v>
      </c>
      <c r="C74" s="496" t="s">
        <v>448</v>
      </c>
      <c r="D74" s="496" t="s">
        <v>1623</v>
      </c>
      <c r="E74" s="496" t="s">
        <v>1609</v>
      </c>
      <c r="F74" s="505">
        <f>'MCS Budget - Detailed'!N86</f>
        <v>3085</v>
      </c>
      <c r="G74" s="497" t="s">
        <v>448</v>
      </c>
    </row>
    <row r="75" spans="1:7" x14ac:dyDescent="0.2">
      <c r="A75" s="494" t="s">
        <v>2005</v>
      </c>
      <c r="B75" s="496" t="s">
        <v>40</v>
      </c>
      <c r="C75" s="496" t="s">
        <v>448</v>
      </c>
      <c r="D75" s="496" t="s">
        <v>2551</v>
      </c>
      <c r="E75" s="496" t="s">
        <v>1609</v>
      </c>
      <c r="F75" s="505">
        <f>'MCS Budget - Detailed'!N87</f>
        <v>453</v>
      </c>
      <c r="G75" s="499" t="s">
        <v>448</v>
      </c>
    </row>
    <row r="76" spans="1:7" x14ac:dyDescent="0.2">
      <c r="A76" s="494" t="s">
        <v>2005</v>
      </c>
      <c r="B76" s="496" t="s">
        <v>40</v>
      </c>
      <c r="C76" s="496" t="s">
        <v>448</v>
      </c>
      <c r="D76" s="496" t="s">
        <v>2550</v>
      </c>
      <c r="E76" s="496" t="s">
        <v>1609</v>
      </c>
      <c r="F76" s="505">
        <f>'MCS Budget - Detailed'!N88</f>
        <v>267</v>
      </c>
      <c r="G76" s="499" t="s">
        <v>448</v>
      </c>
    </row>
    <row r="77" spans="1:7" x14ac:dyDescent="0.2">
      <c r="A77" s="494" t="s">
        <v>2005</v>
      </c>
      <c r="B77" s="496" t="s">
        <v>40</v>
      </c>
      <c r="C77" s="496" t="s">
        <v>448</v>
      </c>
      <c r="D77" s="496" t="s">
        <v>1624</v>
      </c>
      <c r="E77" s="496" t="s">
        <v>1609</v>
      </c>
      <c r="F77" s="505">
        <f>'MCS Budget - Detailed'!N89</f>
        <v>300</v>
      </c>
      <c r="G77" s="499" t="s">
        <v>448</v>
      </c>
    </row>
    <row r="78" spans="1:7" x14ac:dyDescent="0.2">
      <c r="A78" s="496" t="s">
        <v>2005</v>
      </c>
      <c r="B78" s="496" t="s">
        <v>40</v>
      </c>
      <c r="C78" s="496" t="s">
        <v>448</v>
      </c>
      <c r="D78" s="496" t="s">
        <v>1625</v>
      </c>
      <c r="E78" s="496" t="s">
        <v>1609</v>
      </c>
      <c r="F78" s="505">
        <f>'MCS Budget - Detailed'!N91</f>
        <v>17195</v>
      </c>
      <c r="G78" s="497" t="s">
        <v>448</v>
      </c>
    </row>
    <row r="79" spans="1:7" x14ac:dyDescent="0.2">
      <c r="A79" s="494" t="s">
        <v>2005</v>
      </c>
      <c r="B79" s="496" t="s">
        <v>40</v>
      </c>
      <c r="C79" s="496" t="s">
        <v>448</v>
      </c>
      <c r="D79" s="496" t="s">
        <v>1626</v>
      </c>
      <c r="E79" s="496" t="s">
        <v>1609</v>
      </c>
      <c r="F79" s="505">
        <f>'MCS Budget - Detailed'!N92</f>
        <v>450</v>
      </c>
      <c r="G79" s="497" t="s">
        <v>448</v>
      </c>
    </row>
    <row r="80" spans="1:7" x14ac:dyDescent="0.2">
      <c r="A80" s="494" t="s">
        <v>2005</v>
      </c>
      <c r="B80" s="496" t="s">
        <v>40</v>
      </c>
      <c r="C80" s="496" t="s">
        <v>448</v>
      </c>
      <c r="D80" s="496" t="s">
        <v>2015</v>
      </c>
      <c r="E80" s="496" t="s">
        <v>1609</v>
      </c>
      <c r="F80" s="505">
        <f>'MCS Budget - Detailed'!N93</f>
        <v>8222</v>
      </c>
      <c r="G80" s="497" t="s">
        <v>448</v>
      </c>
    </row>
    <row r="81" spans="1:7" x14ac:dyDescent="0.2">
      <c r="A81" s="496" t="s">
        <v>2005</v>
      </c>
      <c r="B81" s="496" t="s">
        <v>40</v>
      </c>
      <c r="C81" s="496" t="s">
        <v>448</v>
      </c>
      <c r="D81" s="496" t="s">
        <v>2016</v>
      </c>
      <c r="E81" s="496" t="s">
        <v>1609</v>
      </c>
      <c r="F81" s="505">
        <f>'MCS Budget - Detailed'!N94</f>
        <v>33</v>
      </c>
      <c r="G81" s="497" t="s">
        <v>448</v>
      </c>
    </row>
    <row r="82" spans="1:7" x14ac:dyDescent="0.2">
      <c r="A82" s="496" t="s">
        <v>2005</v>
      </c>
      <c r="B82" s="496" t="s">
        <v>40</v>
      </c>
      <c r="C82" s="496" t="s">
        <v>448</v>
      </c>
      <c r="D82" s="496" t="s">
        <v>1627</v>
      </c>
      <c r="E82" s="496" t="s">
        <v>1609</v>
      </c>
      <c r="F82" s="505">
        <f>'MCS Budget - Detailed'!N95</f>
        <v>53</v>
      </c>
      <c r="G82" s="497" t="s">
        <v>448</v>
      </c>
    </row>
    <row r="83" spans="1:7" x14ac:dyDescent="0.2">
      <c r="A83" s="496" t="s">
        <v>2005</v>
      </c>
      <c r="B83" s="496" t="s">
        <v>40</v>
      </c>
      <c r="C83" s="496" t="s">
        <v>448</v>
      </c>
      <c r="D83" s="496" t="s">
        <v>2017</v>
      </c>
      <c r="E83" s="496" t="s">
        <v>1609</v>
      </c>
      <c r="F83" s="505">
        <f>'MCS Budget - Detailed'!N96</f>
        <v>25</v>
      </c>
      <c r="G83" s="497" t="s">
        <v>448</v>
      </c>
    </row>
    <row r="84" spans="1:7" x14ac:dyDescent="0.2">
      <c r="A84" s="494" t="s">
        <v>2005</v>
      </c>
      <c r="B84" s="496" t="s">
        <v>40</v>
      </c>
      <c r="C84" s="496" t="s">
        <v>448</v>
      </c>
      <c r="D84" s="496" t="s">
        <v>1628</v>
      </c>
      <c r="E84" s="496" t="s">
        <v>1609</v>
      </c>
      <c r="F84" s="505">
        <f>'MCS Budget - Detailed'!N97</f>
        <v>256</v>
      </c>
      <c r="G84" s="497" t="s">
        <v>448</v>
      </c>
    </row>
    <row r="85" spans="1:7" x14ac:dyDescent="0.2">
      <c r="A85" s="494" t="s">
        <v>2005</v>
      </c>
      <c r="B85" s="496" t="s">
        <v>40</v>
      </c>
      <c r="C85" s="496" t="s">
        <v>448</v>
      </c>
      <c r="D85" s="496" t="s">
        <v>2018</v>
      </c>
      <c r="E85" s="496" t="s">
        <v>1609</v>
      </c>
      <c r="F85" s="505">
        <f>'MCS Budget - Detailed'!N98</f>
        <v>120</v>
      </c>
      <c r="G85" s="497" t="s">
        <v>448</v>
      </c>
    </row>
    <row r="86" spans="1:7" x14ac:dyDescent="0.2">
      <c r="A86" s="496" t="s">
        <v>2005</v>
      </c>
      <c r="B86" s="496" t="s">
        <v>40</v>
      </c>
      <c r="C86" s="496" t="s">
        <v>448</v>
      </c>
      <c r="D86" s="496" t="s">
        <v>1629</v>
      </c>
      <c r="E86" s="496" t="s">
        <v>1609</v>
      </c>
      <c r="F86" s="505">
        <f>'MCS Budget - Detailed'!N99</f>
        <v>3600</v>
      </c>
      <c r="G86" s="497" t="s">
        <v>448</v>
      </c>
    </row>
    <row r="87" spans="1:7" x14ac:dyDescent="0.2">
      <c r="A87" s="496" t="s">
        <v>2005</v>
      </c>
      <c r="B87" s="496" t="s">
        <v>40</v>
      </c>
      <c r="C87" s="496" t="s">
        <v>448</v>
      </c>
      <c r="D87" s="496" t="s">
        <v>2019</v>
      </c>
      <c r="E87" s="496" t="s">
        <v>1609</v>
      </c>
      <c r="F87" s="505">
        <f>'MCS Budget - Detailed'!N100</f>
        <v>1678</v>
      </c>
      <c r="G87" s="497" t="s">
        <v>448</v>
      </c>
    </row>
    <row r="88" spans="1:7" x14ac:dyDescent="0.2">
      <c r="A88" s="494" t="s">
        <v>2005</v>
      </c>
      <c r="B88" s="496" t="s">
        <v>40</v>
      </c>
      <c r="C88" s="496" t="s">
        <v>448</v>
      </c>
      <c r="D88" s="496" t="s">
        <v>1630</v>
      </c>
      <c r="E88" s="496" t="s">
        <v>1609</v>
      </c>
      <c r="F88" s="505">
        <f>'MCS Budget - Detailed'!N101</f>
        <v>3085</v>
      </c>
      <c r="G88" s="497" t="s">
        <v>448</v>
      </c>
    </row>
    <row r="89" spans="1:7" x14ac:dyDescent="0.2">
      <c r="A89" s="496" t="s">
        <v>2005</v>
      </c>
      <c r="B89" s="496" t="s">
        <v>40</v>
      </c>
      <c r="C89" s="496" t="s">
        <v>448</v>
      </c>
      <c r="D89" s="496" t="s">
        <v>2553</v>
      </c>
      <c r="E89" s="496" t="s">
        <v>1609</v>
      </c>
      <c r="F89" s="505">
        <f>'MCS Budget - Detailed'!N102</f>
        <v>449</v>
      </c>
      <c r="G89" s="497" t="s">
        <v>448</v>
      </c>
    </row>
    <row r="90" spans="1:7" x14ac:dyDescent="0.2">
      <c r="A90" s="496" t="s">
        <v>2005</v>
      </c>
      <c r="B90" s="496" t="s">
        <v>40</v>
      </c>
      <c r="C90" s="496" t="s">
        <v>448</v>
      </c>
      <c r="D90" s="496" t="s">
        <v>2552</v>
      </c>
      <c r="E90" s="496" t="s">
        <v>1609</v>
      </c>
      <c r="F90" s="505">
        <f>'MCS Budget - Detailed'!N103</f>
        <v>267</v>
      </c>
      <c r="G90" s="497" t="s">
        <v>448</v>
      </c>
    </row>
    <row r="91" spans="1:7" x14ac:dyDescent="0.2">
      <c r="A91" s="496" t="s">
        <v>2005</v>
      </c>
      <c r="B91" s="496" t="s">
        <v>40</v>
      </c>
      <c r="C91" s="496" t="s">
        <v>448</v>
      </c>
      <c r="D91" s="496" t="s">
        <v>1631</v>
      </c>
      <c r="E91" s="496" t="s">
        <v>1609</v>
      </c>
      <c r="F91" s="505">
        <f>'MCS Budget - Detailed'!N104</f>
        <v>300</v>
      </c>
      <c r="G91" s="497" t="s">
        <v>448</v>
      </c>
    </row>
    <row r="92" spans="1:7" x14ac:dyDescent="0.2">
      <c r="A92" s="494" t="s">
        <v>2005</v>
      </c>
      <c r="B92" s="496" t="s">
        <v>40</v>
      </c>
      <c r="C92" s="496" t="s">
        <v>448</v>
      </c>
      <c r="D92" s="496" t="s">
        <v>1632</v>
      </c>
      <c r="E92" s="496" t="s">
        <v>1609</v>
      </c>
      <c r="F92" s="505">
        <f>'MCS Budget - Detailed'!N106</f>
        <v>36165</v>
      </c>
      <c r="G92" s="497" t="s">
        <v>448</v>
      </c>
    </row>
    <row r="93" spans="1:7" x14ac:dyDescent="0.2">
      <c r="A93" s="496" t="s">
        <v>2005</v>
      </c>
      <c r="B93" s="496" t="s">
        <v>40</v>
      </c>
      <c r="C93" s="496" t="s">
        <v>448</v>
      </c>
      <c r="D93" s="496" t="s">
        <v>1633</v>
      </c>
      <c r="E93" s="496" t="s">
        <v>1609</v>
      </c>
      <c r="F93" s="505">
        <f>'MCS Budget - Detailed'!N107</f>
        <v>900</v>
      </c>
      <c r="G93" s="497" t="s">
        <v>448</v>
      </c>
    </row>
    <row r="94" spans="1:7" x14ac:dyDescent="0.2">
      <c r="A94" s="494" t="s">
        <v>2005</v>
      </c>
      <c r="B94" s="496" t="s">
        <v>40</v>
      </c>
      <c r="C94" s="496" t="s">
        <v>448</v>
      </c>
      <c r="D94" s="496" t="s">
        <v>2020</v>
      </c>
      <c r="E94" s="496" t="s">
        <v>1609</v>
      </c>
      <c r="F94" s="505">
        <f>'MCS Budget - Detailed'!N108</f>
        <v>66</v>
      </c>
      <c r="G94" s="497" t="s">
        <v>448</v>
      </c>
    </row>
    <row r="95" spans="1:7" x14ac:dyDescent="0.2">
      <c r="A95" s="494" t="s">
        <v>2005</v>
      </c>
      <c r="B95" s="496" t="s">
        <v>40</v>
      </c>
      <c r="C95" s="496" t="s">
        <v>448</v>
      </c>
      <c r="D95" s="496" t="s">
        <v>1634</v>
      </c>
      <c r="E95" s="496" t="s">
        <v>1609</v>
      </c>
      <c r="F95" s="505">
        <f>'MCS Budget - Detailed'!N109</f>
        <v>112</v>
      </c>
      <c r="G95" s="497" t="s">
        <v>448</v>
      </c>
    </row>
    <row r="96" spans="1:7" x14ac:dyDescent="0.2">
      <c r="A96" s="496" t="s">
        <v>2005</v>
      </c>
      <c r="B96" s="496" t="s">
        <v>40</v>
      </c>
      <c r="C96" s="496" t="s">
        <v>448</v>
      </c>
      <c r="D96" s="496" t="s">
        <v>1635</v>
      </c>
      <c r="E96" s="496" t="s">
        <v>1609</v>
      </c>
      <c r="F96" s="505">
        <f>'MCS Budget - Detailed'!N110</f>
        <v>538</v>
      </c>
      <c r="G96" s="497" t="s">
        <v>448</v>
      </c>
    </row>
    <row r="97" spans="1:7" x14ac:dyDescent="0.2">
      <c r="A97" s="494" t="s">
        <v>2005</v>
      </c>
      <c r="B97" s="496" t="s">
        <v>40</v>
      </c>
      <c r="C97" s="496" t="s">
        <v>448</v>
      </c>
      <c r="D97" s="496" t="s">
        <v>1636</v>
      </c>
      <c r="E97" s="496" t="s">
        <v>1609</v>
      </c>
      <c r="F97" s="505">
        <f>'MCS Budget - Detailed'!N111</f>
        <v>7562</v>
      </c>
      <c r="G97" s="497" t="s">
        <v>448</v>
      </c>
    </row>
    <row r="98" spans="1:7" x14ac:dyDescent="0.2">
      <c r="A98" s="494" t="s">
        <v>2005</v>
      </c>
      <c r="B98" s="496" t="s">
        <v>40</v>
      </c>
      <c r="C98" s="496" t="s">
        <v>448</v>
      </c>
      <c r="D98" s="496" t="s">
        <v>2021</v>
      </c>
      <c r="E98" s="496" t="s">
        <v>1609</v>
      </c>
      <c r="F98" s="505">
        <f>'MCS Budget - Detailed'!N112</f>
        <v>6169</v>
      </c>
      <c r="G98" s="497" t="s">
        <v>448</v>
      </c>
    </row>
    <row r="99" spans="1:7" x14ac:dyDescent="0.2">
      <c r="A99" s="496" t="s">
        <v>2005</v>
      </c>
      <c r="B99" s="496" t="s">
        <v>40</v>
      </c>
      <c r="C99" s="496" t="s">
        <v>448</v>
      </c>
      <c r="D99" s="496" t="s">
        <v>2554</v>
      </c>
      <c r="E99" s="496" t="s">
        <v>1609</v>
      </c>
      <c r="F99" s="505">
        <f>'MCS Budget - Detailed'!N113</f>
        <v>963</v>
      </c>
      <c r="G99" s="497" t="s">
        <v>448</v>
      </c>
    </row>
    <row r="100" spans="1:7" x14ac:dyDescent="0.2">
      <c r="A100" s="496" t="s">
        <v>2005</v>
      </c>
      <c r="B100" s="496" t="s">
        <v>40</v>
      </c>
      <c r="C100" s="496" t="s">
        <v>448</v>
      </c>
      <c r="D100" s="496" t="s">
        <v>1637</v>
      </c>
      <c r="E100" s="496" t="s">
        <v>1609</v>
      </c>
      <c r="F100" s="505">
        <f>'MCS Budget - Detailed'!N114</f>
        <v>300</v>
      </c>
      <c r="G100" s="497" t="s">
        <v>448</v>
      </c>
    </row>
    <row r="101" spans="1:7" x14ac:dyDescent="0.2">
      <c r="A101" s="494" t="s">
        <v>2005</v>
      </c>
      <c r="B101" s="496" t="s">
        <v>40</v>
      </c>
      <c r="C101" s="496" t="s">
        <v>448</v>
      </c>
      <c r="D101" s="496" t="s">
        <v>1638</v>
      </c>
      <c r="E101" s="496" t="s">
        <v>1609</v>
      </c>
      <c r="F101" s="505">
        <f>'MCS Budget - Detailed'!N116</f>
        <v>36940</v>
      </c>
      <c r="G101" s="497" t="s">
        <v>448</v>
      </c>
    </row>
    <row r="102" spans="1:7" x14ac:dyDescent="0.2">
      <c r="A102" s="496" t="s">
        <v>2005</v>
      </c>
      <c r="B102" s="496" t="s">
        <v>40</v>
      </c>
      <c r="C102" s="496" t="s">
        <v>448</v>
      </c>
      <c r="D102" s="496" t="s">
        <v>1639</v>
      </c>
      <c r="E102" s="496" t="s">
        <v>1609</v>
      </c>
      <c r="F102" s="505">
        <f>'MCS Budget - Detailed'!N117</f>
        <v>900</v>
      </c>
      <c r="G102" s="497" t="s">
        <v>448</v>
      </c>
    </row>
    <row r="103" spans="1:7" x14ac:dyDescent="0.2">
      <c r="A103" s="494" t="s">
        <v>2005</v>
      </c>
      <c r="B103" s="496" t="s">
        <v>40</v>
      </c>
      <c r="C103" s="496" t="s">
        <v>448</v>
      </c>
      <c r="D103" s="496" t="s">
        <v>2022</v>
      </c>
      <c r="E103" s="496" t="s">
        <v>1609</v>
      </c>
      <c r="F103" s="505">
        <f>'MCS Budget - Detailed'!N118</f>
        <v>66</v>
      </c>
      <c r="G103" s="497" t="s">
        <v>448</v>
      </c>
    </row>
    <row r="104" spans="1:7" x14ac:dyDescent="0.2">
      <c r="A104" s="494" t="s">
        <v>2005</v>
      </c>
      <c r="B104" s="496" t="s">
        <v>40</v>
      </c>
      <c r="C104" s="496" t="s">
        <v>448</v>
      </c>
      <c r="D104" s="496" t="s">
        <v>1640</v>
      </c>
      <c r="E104" s="496" t="s">
        <v>1609</v>
      </c>
      <c r="F104" s="505">
        <f>'MCS Budget - Detailed'!N119</f>
        <v>114</v>
      </c>
      <c r="G104" s="497" t="s">
        <v>448</v>
      </c>
    </row>
    <row r="105" spans="1:7" x14ac:dyDescent="0.2">
      <c r="A105" s="496" t="s">
        <v>2005</v>
      </c>
      <c r="B105" s="496" t="s">
        <v>40</v>
      </c>
      <c r="C105" s="496" t="s">
        <v>448</v>
      </c>
      <c r="D105" s="496" t="s">
        <v>1641</v>
      </c>
      <c r="E105" s="496" t="s">
        <v>1609</v>
      </c>
      <c r="F105" s="505">
        <f>'MCS Budget - Detailed'!N120</f>
        <v>549</v>
      </c>
      <c r="G105" s="497" t="s">
        <v>448</v>
      </c>
    </row>
    <row r="106" spans="1:7" x14ac:dyDescent="0.2">
      <c r="A106" s="494" t="s">
        <v>2005</v>
      </c>
      <c r="B106" s="496" t="s">
        <v>40</v>
      </c>
      <c r="C106" s="496" t="s">
        <v>448</v>
      </c>
      <c r="D106" s="496" t="s">
        <v>1642</v>
      </c>
      <c r="E106" s="496" t="s">
        <v>1609</v>
      </c>
      <c r="F106" s="505">
        <f>'MCS Budget - Detailed'!N121</f>
        <v>7720</v>
      </c>
      <c r="G106" s="497" t="s">
        <v>448</v>
      </c>
    </row>
    <row r="107" spans="1:7" x14ac:dyDescent="0.2">
      <c r="A107" s="496" t="s">
        <v>2005</v>
      </c>
      <c r="B107" s="496" t="s">
        <v>40</v>
      </c>
      <c r="C107" s="496" t="s">
        <v>448</v>
      </c>
      <c r="D107" s="496" t="s">
        <v>1643</v>
      </c>
      <c r="E107" s="496" t="s">
        <v>1609</v>
      </c>
      <c r="F107" s="505">
        <f>'MCS Budget - Detailed'!N122</f>
        <v>6169</v>
      </c>
      <c r="G107" s="497" t="s">
        <v>448</v>
      </c>
    </row>
    <row r="108" spans="1:7" x14ac:dyDescent="0.2">
      <c r="A108" s="494" t="s">
        <v>2005</v>
      </c>
      <c r="B108" s="496" t="s">
        <v>40</v>
      </c>
      <c r="C108" s="496" t="s">
        <v>448</v>
      </c>
      <c r="D108" s="496" t="s">
        <v>2555</v>
      </c>
      <c r="E108" s="496" t="s">
        <v>1609</v>
      </c>
      <c r="F108" s="505">
        <f>'MCS Budget - Detailed'!N123</f>
        <v>980</v>
      </c>
      <c r="G108" s="497" t="s">
        <v>448</v>
      </c>
    </row>
    <row r="109" spans="1:7" x14ac:dyDescent="0.2">
      <c r="A109" s="494" t="s">
        <v>2005</v>
      </c>
      <c r="B109" s="496" t="s">
        <v>40</v>
      </c>
      <c r="C109" s="496" t="s">
        <v>448</v>
      </c>
      <c r="D109" s="496" t="s">
        <v>1644</v>
      </c>
      <c r="E109" s="496" t="s">
        <v>1609</v>
      </c>
      <c r="F109" s="505">
        <f>'MCS Budget - Detailed'!N124</f>
        <v>300</v>
      </c>
      <c r="G109" s="497" t="s">
        <v>448</v>
      </c>
    </row>
    <row r="110" spans="1:7" x14ac:dyDescent="0.2">
      <c r="A110" s="496" t="s">
        <v>2005</v>
      </c>
      <c r="B110" s="496" t="s">
        <v>40</v>
      </c>
      <c r="C110" s="496" t="s">
        <v>448</v>
      </c>
      <c r="D110" s="496" t="s">
        <v>1645</v>
      </c>
      <c r="E110" s="496" t="s">
        <v>1609</v>
      </c>
      <c r="F110" s="505">
        <f>'MCS Budget - Detailed'!N126</f>
        <v>16115</v>
      </c>
      <c r="G110" s="497" t="s">
        <v>448</v>
      </c>
    </row>
    <row r="111" spans="1:7" x14ac:dyDescent="0.2">
      <c r="A111" s="494" t="s">
        <v>2005</v>
      </c>
      <c r="B111" s="496" t="s">
        <v>40</v>
      </c>
      <c r="C111" s="496" t="s">
        <v>448</v>
      </c>
      <c r="D111" s="496" t="s">
        <v>1646</v>
      </c>
      <c r="E111" s="496" t="s">
        <v>1609</v>
      </c>
      <c r="F111" s="505">
        <f>'MCS Budget - Detailed'!N127</f>
        <v>900</v>
      </c>
      <c r="G111" s="497" t="s">
        <v>448</v>
      </c>
    </row>
    <row r="112" spans="1:7" x14ac:dyDescent="0.2">
      <c r="A112" s="496" t="s">
        <v>2005</v>
      </c>
      <c r="B112" s="496" t="s">
        <v>40</v>
      </c>
      <c r="C112" s="496" t="s">
        <v>448</v>
      </c>
      <c r="D112" s="496" t="s">
        <v>2023</v>
      </c>
      <c r="E112" s="496" t="s">
        <v>1609</v>
      </c>
      <c r="F112" s="505">
        <f>'MCS Budget - Detailed'!N128</f>
        <v>66</v>
      </c>
      <c r="G112" s="497" t="s">
        <v>448</v>
      </c>
    </row>
    <row r="113" spans="1:7" x14ac:dyDescent="0.2">
      <c r="A113" s="496" t="s">
        <v>2005</v>
      </c>
      <c r="B113" s="496" t="s">
        <v>40</v>
      </c>
      <c r="C113" s="496" t="s">
        <v>448</v>
      </c>
      <c r="D113" s="496" t="s">
        <v>1647</v>
      </c>
      <c r="E113" s="496" t="s">
        <v>1609</v>
      </c>
      <c r="F113" s="505">
        <f>'MCS Budget - Detailed'!N129</f>
        <v>103</v>
      </c>
      <c r="G113" s="497" t="s">
        <v>448</v>
      </c>
    </row>
    <row r="114" spans="1:7" x14ac:dyDescent="0.2">
      <c r="A114" s="494" t="s">
        <v>2005</v>
      </c>
      <c r="B114" s="496" t="s">
        <v>40</v>
      </c>
      <c r="C114" s="496" t="s">
        <v>448</v>
      </c>
      <c r="D114" s="496" t="s">
        <v>1648</v>
      </c>
      <c r="E114" s="496" t="s">
        <v>1609</v>
      </c>
      <c r="F114" s="505">
        <f>'MCS Budget - Detailed'!N130</f>
        <v>494</v>
      </c>
      <c r="G114" s="497" t="s">
        <v>448</v>
      </c>
    </row>
    <row r="115" spans="1:7" x14ac:dyDescent="0.2">
      <c r="A115" s="496" t="s">
        <v>2005</v>
      </c>
      <c r="B115" s="496" t="s">
        <v>40</v>
      </c>
      <c r="C115" s="496" t="s">
        <v>448</v>
      </c>
      <c r="D115" s="496" t="s">
        <v>1650</v>
      </c>
      <c r="E115" s="496" t="s">
        <v>1609</v>
      </c>
      <c r="F115" s="570">
        <f>'MCS Budget - Detailed'!N131</f>
        <v>6940</v>
      </c>
      <c r="G115" s="497" t="s">
        <v>448</v>
      </c>
    </row>
    <row r="116" spans="1:7" x14ac:dyDescent="0.2">
      <c r="A116" s="494" t="s">
        <v>2005</v>
      </c>
      <c r="B116" s="496" t="s">
        <v>40</v>
      </c>
      <c r="C116" s="496" t="s">
        <v>448</v>
      </c>
      <c r="D116" s="496" t="s">
        <v>1649</v>
      </c>
      <c r="E116" s="496" t="s">
        <v>1609</v>
      </c>
      <c r="F116" s="570">
        <f>'MCS Budget - Detailed'!N132</f>
        <v>6169</v>
      </c>
      <c r="G116" s="497" t="s">
        <v>448</v>
      </c>
    </row>
    <row r="117" spans="1:7" x14ac:dyDescent="0.2">
      <c r="A117" s="496" t="s">
        <v>2005</v>
      </c>
      <c r="B117" s="496" t="s">
        <v>40</v>
      </c>
      <c r="C117" s="496" t="s">
        <v>448</v>
      </c>
      <c r="D117" s="496" t="s">
        <v>2556</v>
      </c>
      <c r="E117" s="496" t="s">
        <v>1609</v>
      </c>
      <c r="F117" s="570">
        <f>'MCS Budget - Detailed'!N133</f>
        <v>640</v>
      </c>
      <c r="G117" s="497" t="s">
        <v>448</v>
      </c>
    </row>
    <row r="118" spans="1:7" x14ac:dyDescent="0.2">
      <c r="A118" s="496" t="s">
        <v>2005</v>
      </c>
      <c r="B118" s="496" t="s">
        <v>40</v>
      </c>
      <c r="C118" s="496" t="s">
        <v>448</v>
      </c>
      <c r="D118" s="496" t="s">
        <v>1651</v>
      </c>
      <c r="E118" s="496" t="s">
        <v>1609</v>
      </c>
      <c r="F118" s="570">
        <f>'MCS Budget - Detailed'!N134</f>
        <v>300</v>
      </c>
      <c r="G118" s="497" t="s">
        <v>448</v>
      </c>
    </row>
    <row r="119" spans="1:7" x14ac:dyDescent="0.2">
      <c r="A119" s="496" t="s">
        <v>2005</v>
      </c>
      <c r="B119" s="496" t="s">
        <v>40</v>
      </c>
      <c r="C119" s="496" t="s">
        <v>448</v>
      </c>
      <c r="D119" s="496" t="s">
        <v>2024</v>
      </c>
      <c r="E119" s="496" t="s">
        <v>1609</v>
      </c>
      <c r="F119" s="505">
        <f>'MCS Budget - Detailed'!N136</f>
        <v>12030</v>
      </c>
      <c r="G119" s="497" t="s">
        <v>448</v>
      </c>
    </row>
    <row r="120" spans="1:7" x14ac:dyDescent="0.2">
      <c r="A120" s="494" t="s">
        <v>2005</v>
      </c>
      <c r="B120" s="496" t="s">
        <v>40</v>
      </c>
      <c r="C120" s="496" t="s">
        <v>448</v>
      </c>
      <c r="D120" s="496" t="s">
        <v>2025</v>
      </c>
      <c r="E120" s="496" t="s">
        <v>1609</v>
      </c>
      <c r="F120" s="505">
        <f>'MCS Budget - Detailed'!N137</f>
        <v>300</v>
      </c>
      <c r="G120" s="497" t="s">
        <v>448</v>
      </c>
    </row>
    <row r="121" spans="1:7" x14ac:dyDescent="0.2">
      <c r="A121" s="496" t="s">
        <v>2005</v>
      </c>
      <c r="B121" s="496" t="s">
        <v>40</v>
      </c>
      <c r="C121" s="496" t="s">
        <v>448</v>
      </c>
      <c r="D121" s="496" t="s">
        <v>2026</v>
      </c>
      <c r="E121" s="496" t="s">
        <v>1609</v>
      </c>
      <c r="F121" s="505">
        <f>'MCS Budget - Detailed'!N138</f>
        <v>22</v>
      </c>
      <c r="G121" s="497" t="s">
        <v>448</v>
      </c>
    </row>
    <row r="122" spans="1:7" x14ac:dyDescent="0.2">
      <c r="A122" s="496" t="s">
        <v>2005</v>
      </c>
      <c r="B122" s="496" t="s">
        <v>40</v>
      </c>
      <c r="C122" s="496" t="s">
        <v>448</v>
      </c>
      <c r="D122" s="496" t="s">
        <v>2027</v>
      </c>
      <c r="E122" s="496" t="s">
        <v>1609</v>
      </c>
      <c r="F122" s="505">
        <f>'MCS Budget - Detailed'!N139</f>
        <v>37</v>
      </c>
      <c r="G122" s="497" t="s">
        <v>448</v>
      </c>
    </row>
    <row r="123" spans="1:7" x14ac:dyDescent="0.2">
      <c r="A123" s="494" t="s">
        <v>2005</v>
      </c>
      <c r="B123" s="496" t="s">
        <v>40</v>
      </c>
      <c r="C123" s="496" t="s">
        <v>448</v>
      </c>
      <c r="D123" s="496" t="s">
        <v>2028</v>
      </c>
      <c r="E123" s="496" t="s">
        <v>1609</v>
      </c>
      <c r="F123" s="505">
        <f>'MCS Budget - Detailed'!N140</f>
        <v>179</v>
      </c>
      <c r="G123" s="497" t="s">
        <v>448</v>
      </c>
    </row>
    <row r="124" spans="1:7" x14ac:dyDescent="0.2">
      <c r="A124" s="496" t="s">
        <v>2005</v>
      </c>
      <c r="B124" s="496" t="s">
        <v>40</v>
      </c>
      <c r="C124" s="496" t="s">
        <v>448</v>
      </c>
      <c r="D124" s="496" t="s">
        <v>2029</v>
      </c>
      <c r="E124" s="496" t="s">
        <v>1609</v>
      </c>
      <c r="F124" s="570">
        <f>'MCS Budget - Detailed'!N141</f>
        <v>2516</v>
      </c>
      <c r="G124" s="497" t="s">
        <v>448</v>
      </c>
    </row>
    <row r="125" spans="1:7" x14ac:dyDescent="0.2">
      <c r="A125" s="494" t="s">
        <v>2005</v>
      </c>
      <c r="B125" s="496" t="s">
        <v>40</v>
      </c>
      <c r="C125" s="496" t="s">
        <v>448</v>
      </c>
      <c r="D125" s="496" t="s">
        <v>2030</v>
      </c>
      <c r="E125" s="496" t="s">
        <v>1609</v>
      </c>
      <c r="F125" s="570">
        <f>'MCS Budget - Detailed'!N142</f>
        <v>2057</v>
      </c>
      <c r="G125" s="497" t="s">
        <v>448</v>
      </c>
    </row>
    <row r="126" spans="1:7" x14ac:dyDescent="0.2">
      <c r="A126" s="496" t="s">
        <v>2005</v>
      </c>
      <c r="B126" s="496" t="s">
        <v>40</v>
      </c>
      <c r="C126" s="496" t="s">
        <v>448</v>
      </c>
      <c r="D126" s="496" t="s">
        <v>2557</v>
      </c>
      <c r="E126" s="496" t="s">
        <v>1609</v>
      </c>
      <c r="F126" s="570">
        <f>'MCS Budget - Detailed'!N143</f>
        <v>480</v>
      </c>
      <c r="G126" s="497" t="s">
        <v>448</v>
      </c>
    </row>
    <row r="127" spans="1:7" x14ac:dyDescent="0.2">
      <c r="A127" s="496" t="s">
        <v>2005</v>
      </c>
      <c r="B127" s="496" t="s">
        <v>40</v>
      </c>
      <c r="C127" s="496" t="s">
        <v>448</v>
      </c>
      <c r="D127" s="496" t="s">
        <v>2031</v>
      </c>
      <c r="E127" s="496" t="s">
        <v>1609</v>
      </c>
      <c r="F127" s="570">
        <f>'MCS Budget - Detailed'!N144</f>
        <v>300</v>
      </c>
      <c r="G127" s="497" t="s">
        <v>448</v>
      </c>
    </row>
    <row r="128" spans="1:7" x14ac:dyDescent="0.2">
      <c r="A128" s="494" t="s">
        <v>2005</v>
      </c>
      <c r="B128" s="496" t="s">
        <v>40</v>
      </c>
      <c r="C128" s="496" t="s">
        <v>448</v>
      </c>
      <c r="D128" s="496" t="s">
        <v>1652</v>
      </c>
      <c r="E128" s="496" t="s">
        <v>1609</v>
      </c>
      <c r="F128" s="505">
        <f>'MCS Budget - Detailed'!N147</f>
        <v>20350</v>
      </c>
      <c r="G128" s="497" t="s">
        <v>448</v>
      </c>
    </row>
    <row r="129" spans="1:7" x14ac:dyDescent="0.2">
      <c r="A129" s="496" t="s">
        <v>2005</v>
      </c>
      <c r="B129" s="496" t="s">
        <v>40</v>
      </c>
      <c r="C129" s="496" t="s">
        <v>448</v>
      </c>
      <c r="D129" s="496" t="s">
        <v>1653</v>
      </c>
      <c r="E129" s="496" t="s">
        <v>1609</v>
      </c>
      <c r="F129" s="505">
        <f>'MCS Budget - Detailed'!N148</f>
        <v>450</v>
      </c>
      <c r="G129" s="497" t="s">
        <v>448</v>
      </c>
    </row>
    <row r="130" spans="1:7" x14ac:dyDescent="0.2">
      <c r="A130" s="494" t="s">
        <v>2005</v>
      </c>
      <c r="B130" s="496" t="s">
        <v>40</v>
      </c>
      <c r="C130" s="496" t="s">
        <v>448</v>
      </c>
      <c r="D130" s="496" t="s">
        <v>1654</v>
      </c>
      <c r="E130" s="496" t="s">
        <v>1609</v>
      </c>
      <c r="F130" s="505">
        <f>'MCS Budget - Detailed'!N149</f>
        <v>33</v>
      </c>
      <c r="G130" s="497" t="s">
        <v>448</v>
      </c>
    </row>
    <row r="131" spans="1:7" x14ac:dyDescent="0.2">
      <c r="A131" s="496" t="s">
        <v>2005</v>
      </c>
      <c r="B131" s="496" t="s">
        <v>40</v>
      </c>
      <c r="C131" s="496" t="s">
        <v>448</v>
      </c>
      <c r="D131" s="496" t="s">
        <v>1655</v>
      </c>
      <c r="E131" s="496" t="s">
        <v>1609</v>
      </c>
      <c r="F131" s="505">
        <f>'MCS Budget - Detailed'!N150</f>
        <v>63</v>
      </c>
      <c r="G131" s="497" t="s">
        <v>448</v>
      </c>
    </row>
    <row r="132" spans="1:7" x14ac:dyDescent="0.2">
      <c r="A132" s="494" t="s">
        <v>2005</v>
      </c>
      <c r="B132" s="496" t="s">
        <v>40</v>
      </c>
      <c r="C132" s="496" t="s">
        <v>448</v>
      </c>
      <c r="D132" s="496" t="s">
        <v>1656</v>
      </c>
      <c r="E132" s="496" t="s">
        <v>1609</v>
      </c>
      <c r="F132" s="505">
        <f>'MCS Budget - Detailed'!N151</f>
        <v>302</v>
      </c>
      <c r="G132" s="497" t="s">
        <v>448</v>
      </c>
    </row>
    <row r="133" spans="1:7" x14ac:dyDescent="0.2">
      <c r="A133" s="496" t="s">
        <v>2005</v>
      </c>
      <c r="B133" s="496" t="s">
        <v>40</v>
      </c>
      <c r="C133" s="496" t="s">
        <v>448</v>
      </c>
      <c r="D133" s="496" t="s">
        <v>1657</v>
      </c>
      <c r="E133" s="496" t="s">
        <v>1609</v>
      </c>
      <c r="F133" s="505">
        <f>'MCS Budget - Detailed'!N152</f>
        <v>4244</v>
      </c>
      <c r="G133" s="497" t="s">
        <v>448</v>
      </c>
    </row>
    <row r="134" spans="1:7" x14ac:dyDescent="0.2">
      <c r="A134" s="494" t="s">
        <v>2005</v>
      </c>
      <c r="B134" s="496" t="s">
        <v>40</v>
      </c>
      <c r="C134" s="496" t="s">
        <v>448</v>
      </c>
      <c r="D134" s="496" t="s">
        <v>1658</v>
      </c>
      <c r="E134" s="496" t="s">
        <v>1609</v>
      </c>
      <c r="F134" s="505">
        <f>'MCS Budget - Detailed'!N163</f>
        <v>3085</v>
      </c>
      <c r="G134" s="497" t="s">
        <v>448</v>
      </c>
    </row>
    <row r="135" spans="1:7" x14ac:dyDescent="0.2">
      <c r="A135" s="496" t="s">
        <v>2005</v>
      </c>
      <c r="B135" s="496" t="s">
        <v>40</v>
      </c>
      <c r="C135" s="496" t="s">
        <v>448</v>
      </c>
      <c r="D135" s="496" t="s">
        <v>2558</v>
      </c>
      <c r="E135" s="496" t="s">
        <v>1609</v>
      </c>
      <c r="F135" s="505">
        <f>'MCS Budget - Detailed'!N154</f>
        <v>610</v>
      </c>
      <c r="G135" s="497" t="s">
        <v>448</v>
      </c>
    </row>
    <row r="136" spans="1:7" x14ac:dyDescent="0.2">
      <c r="A136" s="496" t="s">
        <v>2005</v>
      </c>
      <c r="B136" s="496" t="s">
        <v>40</v>
      </c>
      <c r="C136" s="496" t="s">
        <v>448</v>
      </c>
      <c r="D136" s="496" t="s">
        <v>1659</v>
      </c>
      <c r="E136" s="496" t="s">
        <v>1609</v>
      </c>
      <c r="F136" s="505">
        <f>'MCS Budget - Detailed'!N155</f>
        <v>300</v>
      </c>
      <c r="G136" s="497" t="s">
        <v>448</v>
      </c>
    </row>
    <row r="137" spans="1:7" x14ac:dyDescent="0.2">
      <c r="A137" s="494" t="s">
        <v>2005</v>
      </c>
      <c r="B137" s="496" t="s">
        <v>40</v>
      </c>
      <c r="C137" s="496" t="s">
        <v>448</v>
      </c>
      <c r="D137" s="496" t="s">
        <v>1660</v>
      </c>
      <c r="E137" s="496" t="s">
        <v>1609</v>
      </c>
      <c r="F137" s="505">
        <f>'MCS Budget - Detailed'!N157</f>
        <v>20181</v>
      </c>
      <c r="G137" s="497" t="s">
        <v>448</v>
      </c>
    </row>
    <row r="138" spans="1:7" x14ac:dyDescent="0.2">
      <c r="A138" s="496" t="s">
        <v>2005</v>
      </c>
      <c r="B138" s="496" t="s">
        <v>40</v>
      </c>
      <c r="C138" s="496" t="s">
        <v>448</v>
      </c>
      <c r="D138" s="496" t="s">
        <v>1661</v>
      </c>
      <c r="E138" s="496" t="s">
        <v>1609</v>
      </c>
      <c r="F138" s="505">
        <f>'MCS Budget - Detailed'!N158</f>
        <v>450</v>
      </c>
      <c r="G138" s="497" t="s">
        <v>448</v>
      </c>
    </row>
    <row r="139" spans="1:7" x14ac:dyDescent="0.2">
      <c r="A139" s="494" t="s">
        <v>2005</v>
      </c>
      <c r="B139" s="496" t="s">
        <v>40</v>
      </c>
      <c r="C139" s="496" t="s">
        <v>448</v>
      </c>
      <c r="D139" s="496" t="s">
        <v>1662</v>
      </c>
      <c r="E139" s="496" t="s">
        <v>1609</v>
      </c>
      <c r="F139" s="505">
        <f>'MCS Budget - Detailed'!N159</f>
        <v>33</v>
      </c>
      <c r="G139" s="497" t="s">
        <v>448</v>
      </c>
    </row>
    <row r="140" spans="1:7" x14ac:dyDescent="0.2">
      <c r="A140" s="496" t="s">
        <v>2005</v>
      </c>
      <c r="B140" s="496" t="s">
        <v>40</v>
      </c>
      <c r="C140" s="496" t="s">
        <v>448</v>
      </c>
      <c r="D140" s="496" t="s">
        <v>1663</v>
      </c>
      <c r="E140" s="496" t="s">
        <v>1609</v>
      </c>
      <c r="F140" s="505">
        <f>'MCS Budget - Detailed'!N160</f>
        <v>69</v>
      </c>
      <c r="G140" s="497" t="s">
        <v>448</v>
      </c>
    </row>
    <row r="141" spans="1:7" x14ac:dyDescent="0.2">
      <c r="A141" s="494" t="s">
        <v>2005</v>
      </c>
      <c r="B141" s="496" t="s">
        <v>40</v>
      </c>
      <c r="C141" s="496" t="s">
        <v>448</v>
      </c>
      <c r="D141" s="496" t="s">
        <v>1664</v>
      </c>
      <c r="E141" s="496" t="s">
        <v>1609</v>
      </c>
      <c r="F141" s="505">
        <f>'MCS Budget - Detailed'!N161</f>
        <v>331</v>
      </c>
      <c r="G141" s="497" t="s">
        <v>448</v>
      </c>
    </row>
    <row r="142" spans="1:7" x14ac:dyDescent="0.2">
      <c r="A142" s="496" t="s">
        <v>2005</v>
      </c>
      <c r="B142" s="496" t="s">
        <v>40</v>
      </c>
      <c r="C142" s="496" t="s">
        <v>448</v>
      </c>
      <c r="D142" s="496" t="s">
        <v>1665</v>
      </c>
      <c r="E142" s="496" t="s">
        <v>1609</v>
      </c>
      <c r="F142" s="505">
        <f>'MCS Budget - Detailed'!N162</f>
        <v>4648</v>
      </c>
      <c r="G142" s="497" t="s">
        <v>448</v>
      </c>
    </row>
    <row r="143" spans="1:7" x14ac:dyDescent="0.2">
      <c r="A143" s="494" t="s">
        <v>2005</v>
      </c>
      <c r="B143" s="496" t="s">
        <v>40</v>
      </c>
      <c r="C143" s="496" t="s">
        <v>448</v>
      </c>
      <c r="D143" s="496" t="s">
        <v>1666</v>
      </c>
      <c r="E143" s="496" t="s">
        <v>1609</v>
      </c>
      <c r="F143" s="505">
        <f>'MCS Budget - Detailed'!N163</f>
        <v>3085</v>
      </c>
      <c r="G143" s="497" t="s">
        <v>448</v>
      </c>
    </row>
    <row r="144" spans="1:7" x14ac:dyDescent="0.2">
      <c r="A144" s="496" t="s">
        <v>2005</v>
      </c>
      <c r="B144" s="496" t="s">
        <v>40</v>
      </c>
      <c r="C144" s="496" t="s">
        <v>448</v>
      </c>
      <c r="D144" s="496" t="s">
        <v>2559</v>
      </c>
      <c r="E144" s="496" t="s">
        <v>1609</v>
      </c>
      <c r="F144" s="505">
        <f>'MCS Budget - Detailed'!N164</f>
        <v>605</v>
      </c>
      <c r="G144" s="497" t="s">
        <v>448</v>
      </c>
    </row>
    <row r="145" spans="1:7" x14ac:dyDescent="0.2">
      <c r="A145" s="496" t="s">
        <v>2005</v>
      </c>
      <c r="B145" s="496" t="s">
        <v>40</v>
      </c>
      <c r="C145" s="496" t="s">
        <v>448</v>
      </c>
      <c r="D145" s="496" t="s">
        <v>1667</v>
      </c>
      <c r="E145" s="496" t="s">
        <v>1609</v>
      </c>
      <c r="F145" s="505">
        <f>'MCS Budget - Detailed'!N165</f>
        <v>300</v>
      </c>
      <c r="G145" s="497" t="s">
        <v>448</v>
      </c>
    </row>
    <row r="146" spans="1:7" x14ac:dyDescent="0.2">
      <c r="A146" s="494" t="s">
        <v>2005</v>
      </c>
      <c r="B146" s="496" t="s">
        <v>40</v>
      </c>
      <c r="C146" s="496" t="s">
        <v>448</v>
      </c>
      <c r="D146" s="496" t="s">
        <v>1668</v>
      </c>
      <c r="E146" s="496" t="s">
        <v>1609</v>
      </c>
      <c r="F146" s="505">
        <f>'MCS Budget - Detailed'!N167</f>
        <v>11747</v>
      </c>
      <c r="G146" s="497" t="s">
        <v>448</v>
      </c>
    </row>
    <row r="147" spans="1:7" x14ac:dyDescent="0.2">
      <c r="A147" s="496" t="s">
        <v>2005</v>
      </c>
      <c r="B147" s="496" t="s">
        <v>40</v>
      </c>
      <c r="C147" s="496" t="s">
        <v>448</v>
      </c>
      <c r="D147" s="498" t="s">
        <v>1669</v>
      </c>
      <c r="E147" s="496" t="s">
        <v>1609</v>
      </c>
      <c r="F147" s="505">
        <f>'MCS Budget - Detailed'!N168</f>
        <v>300</v>
      </c>
      <c r="G147" s="497" t="s">
        <v>448</v>
      </c>
    </row>
    <row r="148" spans="1:7" x14ac:dyDescent="0.2">
      <c r="A148" s="494" t="s">
        <v>2005</v>
      </c>
      <c r="B148" s="496" t="s">
        <v>40</v>
      </c>
      <c r="C148" s="496" t="s">
        <v>448</v>
      </c>
      <c r="D148" s="568" t="s">
        <v>1672</v>
      </c>
      <c r="E148" s="496" t="s">
        <v>1609</v>
      </c>
      <c r="F148" s="505">
        <f>'MCS Budget - Detailed'!N169</f>
        <v>22</v>
      </c>
      <c r="G148" s="497" t="s">
        <v>448</v>
      </c>
    </row>
    <row r="149" spans="1:7" x14ac:dyDescent="0.2">
      <c r="A149" s="496" t="s">
        <v>2005</v>
      </c>
      <c r="B149" s="496" t="s">
        <v>40</v>
      </c>
      <c r="C149" s="496" t="s">
        <v>448</v>
      </c>
      <c r="D149" s="568" t="s">
        <v>1671</v>
      </c>
      <c r="E149" s="496" t="s">
        <v>1609</v>
      </c>
      <c r="F149" s="505">
        <f>'MCS Budget - Detailed'!N170</f>
        <v>36</v>
      </c>
      <c r="G149" s="497" t="s">
        <v>448</v>
      </c>
    </row>
    <row r="150" spans="1:7" x14ac:dyDescent="0.2">
      <c r="A150" s="494" t="s">
        <v>2005</v>
      </c>
      <c r="B150" s="496" t="s">
        <v>40</v>
      </c>
      <c r="C150" s="496" t="s">
        <v>448</v>
      </c>
      <c r="D150" s="568" t="s">
        <v>1674</v>
      </c>
      <c r="E150" s="496" t="s">
        <v>1609</v>
      </c>
      <c r="F150" s="505">
        <f>'MCS Budget - Detailed'!N171</f>
        <v>171</v>
      </c>
      <c r="G150" s="497" t="s">
        <v>448</v>
      </c>
    </row>
    <row r="151" spans="1:7" x14ac:dyDescent="0.2">
      <c r="A151" s="496" t="s">
        <v>2005</v>
      </c>
      <c r="B151" s="496" t="s">
        <v>40</v>
      </c>
      <c r="C151" s="496" t="s">
        <v>448</v>
      </c>
      <c r="D151" s="568" t="s">
        <v>1673</v>
      </c>
      <c r="E151" s="496" t="s">
        <v>1609</v>
      </c>
      <c r="F151" s="505">
        <f>'MCS Budget - Detailed'!N172</f>
        <v>2397</v>
      </c>
      <c r="G151" s="497" t="s">
        <v>448</v>
      </c>
    </row>
    <row r="152" spans="1:7" x14ac:dyDescent="0.2">
      <c r="A152" s="494" t="s">
        <v>2005</v>
      </c>
      <c r="B152" s="496" t="s">
        <v>40</v>
      </c>
      <c r="C152" s="496" t="s">
        <v>448</v>
      </c>
      <c r="D152" s="568" t="s">
        <v>1670</v>
      </c>
      <c r="E152" s="496" t="s">
        <v>1609</v>
      </c>
      <c r="F152" s="505">
        <f>'MCS Budget - Detailed'!N173</f>
        <v>2057</v>
      </c>
      <c r="G152" s="497" t="s">
        <v>448</v>
      </c>
    </row>
    <row r="153" spans="1:7" x14ac:dyDescent="0.2">
      <c r="A153" s="496" t="s">
        <v>2005</v>
      </c>
      <c r="B153" s="496" t="s">
        <v>40</v>
      </c>
      <c r="C153" s="496" t="s">
        <v>448</v>
      </c>
      <c r="D153" s="496" t="s">
        <v>2560</v>
      </c>
      <c r="E153" s="496" t="s">
        <v>1609</v>
      </c>
      <c r="F153" s="505">
        <f>'MCS Budget - Detailed'!N174</f>
        <v>362</v>
      </c>
      <c r="G153" s="497" t="s">
        <v>448</v>
      </c>
    </row>
    <row r="154" spans="1:7" x14ac:dyDescent="0.2">
      <c r="A154" s="496" t="s">
        <v>2005</v>
      </c>
      <c r="B154" s="496" t="s">
        <v>40</v>
      </c>
      <c r="C154" s="496" t="s">
        <v>448</v>
      </c>
      <c r="D154" s="496" t="s">
        <v>1675</v>
      </c>
      <c r="E154" s="496" t="s">
        <v>1609</v>
      </c>
      <c r="F154" s="505">
        <f>'MCS Budget - Detailed'!N175</f>
        <v>300</v>
      </c>
      <c r="G154" s="497" t="s">
        <v>448</v>
      </c>
    </row>
    <row r="155" spans="1:7" x14ac:dyDescent="0.2">
      <c r="A155" s="494" t="s">
        <v>2005</v>
      </c>
      <c r="B155" s="496" t="s">
        <v>40</v>
      </c>
      <c r="C155" s="496" t="s">
        <v>448</v>
      </c>
      <c r="D155" s="496" t="s">
        <v>1676</v>
      </c>
      <c r="E155" s="496" t="s">
        <v>1609</v>
      </c>
      <c r="F155" s="505">
        <f>'MCS Budget - Detailed'!N177</f>
        <v>16772</v>
      </c>
      <c r="G155" s="497" t="s">
        <v>448</v>
      </c>
    </row>
    <row r="156" spans="1:7" x14ac:dyDescent="0.2">
      <c r="A156" s="496" t="s">
        <v>2005</v>
      </c>
      <c r="B156" s="496" t="s">
        <v>40</v>
      </c>
      <c r="C156" s="496" t="s">
        <v>448</v>
      </c>
      <c r="D156" s="496" t="s">
        <v>1677</v>
      </c>
      <c r="E156" s="496" t="s">
        <v>1609</v>
      </c>
      <c r="F156" s="505">
        <f>'MCS Budget - Detailed'!N178</f>
        <v>450</v>
      </c>
      <c r="G156" s="497" t="s">
        <v>448</v>
      </c>
    </row>
    <row r="157" spans="1:7" x14ac:dyDescent="0.2">
      <c r="A157" s="494" t="s">
        <v>2005</v>
      </c>
      <c r="B157" s="496" t="s">
        <v>40</v>
      </c>
      <c r="C157" s="496" t="s">
        <v>448</v>
      </c>
      <c r="D157" s="496" t="s">
        <v>1678</v>
      </c>
      <c r="E157" s="496" t="s">
        <v>1609</v>
      </c>
      <c r="F157" s="505">
        <f>'MCS Budget - Detailed'!N179</f>
        <v>33</v>
      </c>
      <c r="G157" s="497" t="s">
        <v>448</v>
      </c>
    </row>
    <row r="158" spans="1:7" x14ac:dyDescent="0.2">
      <c r="A158" s="496" t="s">
        <v>2005</v>
      </c>
      <c r="B158" s="496" t="s">
        <v>40</v>
      </c>
      <c r="C158" s="496" t="s">
        <v>448</v>
      </c>
      <c r="D158" s="496" t="s">
        <v>1679</v>
      </c>
      <c r="E158" s="496" t="s">
        <v>1609</v>
      </c>
      <c r="F158" s="505">
        <f>'MCS Budget - Detailed'!N180</f>
        <v>52</v>
      </c>
      <c r="G158" s="497" t="s">
        <v>448</v>
      </c>
    </row>
    <row r="159" spans="1:7" x14ac:dyDescent="0.2">
      <c r="A159" s="494" t="s">
        <v>2005</v>
      </c>
      <c r="B159" s="496" t="s">
        <v>40</v>
      </c>
      <c r="C159" s="496" t="s">
        <v>448</v>
      </c>
      <c r="D159" s="496" t="s">
        <v>1680</v>
      </c>
      <c r="E159" s="496" t="s">
        <v>1609</v>
      </c>
      <c r="F159" s="505">
        <f>'MCS Budget - Detailed'!N181</f>
        <v>250</v>
      </c>
      <c r="G159" s="497" t="s">
        <v>448</v>
      </c>
    </row>
    <row r="160" spans="1:7" x14ac:dyDescent="0.2">
      <c r="A160" s="496" t="s">
        <v>2005</v>
      </c>
      <c r="B160" s="496" t="s">
        <v>40</v>
      </c>
      <c r="C160" s="496" t="s">
        <v>448</v>
      </c>
      <c r="D160" s="496" t="s">
        <v>1681</v>
      </c>
      <c r="E160" s="496" t="s">
        <v>1609</v>
      </c>
      <c r="F160" s="505">
        <f>'MCS Budget - Detailed'!N182</f>
        <v>3514</v>
      </c>
      <c r="G160" s="497" t="s">
        <v>448</v>
      </c>
    </row>
    <row r="161" spans="1:7" x14ac:dyDescent="0.2">
      <c r="A161" s="494" t="s">
        <v>2005</v>
      </c>
      <c r="B161" s="496" t="s">
        <v>40</v>
      </c>
      <c r="C161" s="496" t="s">
        <v>448</v>
      </c>
      <c r="D161" s="496" t="s">
        <v>1682</v>
      </c>
      <c r="E161" s="496" t="s">
        <v>1609</v>
      </c>
      <c r="F161" s="505">
        <f>'MCS Budget - Detailed'!N183</f>
        <v>3085</v>
      </c>
      <c r="G161" s="497" t="s">
        <v>448</v>
      </c>
    </row>
    <row r="162" spans="1:7" x14ac:dyDescent="0.2">
      <c r="A162" s="496" t="s">
        <v>2005</v>
      </c>
      <c r="B162" s="496" t="s">
        <v>40</v>
      </c>
      <c r="C162" s="496" t="s">
        <v>448</v>
      </c>
      <c r="D162" s="496" t="s">
        <v>2561</v>
      </c>
      <c r="E162" s="496" t="s">
        <v>1609</v>
      </c>
      <c r="F162" s="505">
        <f>'MCS Budget - Detailed'!N184</f>
        <v>516</v>
      </c>
      <c r="G162" s="497" t="s">
        <v>448</v>
      </c>
    </row>
    <row r="163" spans="1:7" x14ac:dyDescent="0.2">
      <c r="A163" s="496" t="s">
        <v>2005</v>
      </c>
      <c r="B163" s="496" t="s">
        <v>40</v>
      </c>
      <c r="C163" s="496" t="s">
        <v>448</v>
      </c>
      <c r="D163" s="496" t="s">
        <v>1683</v>
      </c>
      <c r="E163" s="496" t="s">
        <v>1609</v>
      </c>
      <c r="F163" s="505">
        <f>'MCS Budget - Detailed'!N186</f>
        <v>1500</v>
      </c>
      <c r="G163" s="497" t="s">
        <v>448</v>
      </c>
    </row>
    <row r="164" spans="1:7" x14ac:dyDescent="0.2">
      <c r="A164" s="496" t="s">
        <v>2005</v>
      </c>
      <c r="B164" s="496" t="s">
        <v>40</v>
      </c>
      <c r="C164" s="496" t="s">
        <v>448</v>
      </c>
      <c r="D164" s="496" t="s">
        <v>2032</v>
      </c>
      <c r="E164" s="496" t="s">
        <v>1609</v>
      </c>
      <c r="F164" s="505">
        <f>'MCS Budget - Detailed'!N188</f>
        <v>0</v>
      </c>
      <c r="G164" s="497" t="s">
        <v>448</v>
      </c>
    </row>
    <row r="165" spans="1:7" x14ac:dyDescent="0.2">
      <c r="A165" s="496" t="s">
        <v>2005</v>
      </c>
      <c r="B165" s="496" t="s">
        <v>40</v>
      </c>
      <c r="C165" s="496" t="s">
        <v>448</v>
      </c>
      <c r="D165" s="496" t="s">
        <v>2033</v>
      </c>
      <c r="E165" s="496" t="s">
        <v>1609</v>
      </c>
      <c r="F165" s="505">
        <f>'MCS Budget - Detailed'!N189</f>
        <v>0</v>
      </c>
      <c r="G165" s="497" t="s">
        <v>448</v>
      </c>
    </row>
    <row r="166" spans="1:7" x14ac:dyDescent="0.2">
      <c r="A166" s="494" t="s">
        <v>2005</v>
      </c>
      <c r="B166" s="496" t="s">
        <v>40</v>
      </c>
      <c r="C166" s="496" t="s">
        <v>448</v>
      </c>
      <c r="D166" s="496" t="s">
        <v>2034</v>
      </c>
      <c r="E166" s="496" t="s">
        <v>1609</v>
      </c>
      <c r="F166" s="505">
        <f>'MCS Budget - Detailed'!N190</f>
        <v>0</v>
      </c>
      <c r="G166" s="497" t="s">
        <v>448</v>
      </c>
    </row>
    <row r="167" spans="1:7" x14ac:dyDescent="0.2">
      <c r="A167" s="496" t="s">
        <v>2005</v>
      </c>
      <c r="B167" s="496" t="s">
        <v>40</v>
      </c>
      <c r="C167" s="496" t="s">
        <v>448</v>
      </c>
      <c r="D167" s="496" t="s">
        <v>2035</v>
      </c>
      <c r="E167" s="496" t="s">
        <v>1609</v>
      </c>
      <c r="F167" s="505">
        <f>'MCS Budget - Detailed'!N191</f>
        <v>0</v>
      </c>
      <c r="G167" s="497" t="s">
        <v>448</v>
      </c>
    </row>
    <row r="168" spans="1:7" x14ac:dyDescent="0.2">
      <c r="A168" s="494" t="s">
        <v>2005</v>
      </c>
      <c r="B168" s="496" t="s">
        <v>40</v>
      </c>
      <c r="C168" s="496" t="s">
        <v>448</v>
      </c>
      <c r="D168" s="496" t="s">
        <v>2036</v>
      </c>
      <c r="E168" s="496" t="s">
        <v>1609</v>
      </c>
      <c r="F168" s="505">
        <f>'MCS Budget - Detailed'!N192</f>
        <v>0</v>
      </c>
      <c r="G168" s="497" t="s">
        <v>448</v>
      </c>
    </row>
    <row r="169" spans="1:7" x14ac:dyDescent="0.2">
      <c r="A169" s="496" t="s">
        <v>2005</v>
      </c>
      <c r="B169" s="496" t="s">
        <v>40</v>
      </c>
      <c r="C169" s="496" t="s">
        <v>448</v>
      </c>
      <c r="D169" s="496" t="s">
        <v>2037</v>
      </c>
      <c r="E169" s="496" t="s">
        <v>1609</v>
      </c>
      <c r="F169" s="505">
        <f>'MCS Budget - Detailed'!N193</f>
        <v>0</v>
      </c>
      <c r="G169" s="497" t="s">
        <v>448</v>
      </c>
    </row>
    <row r="170" spans="1:7" x14ac:dyDescent="0.2">
      <c r="A170" s="496" t="s">
        <v>2005</v>
      </c>
      <c r="B170" s="496" t="s">
        <v>40</v>
      </c>
      <c r="C170" s="496" t="s">
        <v>448</v>
      </c>
      <c r="D170" s="496" t="s">
        <v>2038</v>
      </c>
      <c r="E170" s="496" t="s">
        <v>1609</v>
      </c>
      <c r="F170" s="505">
        <f>'MCS Budget - Detailed'!N194</f>
        <v>0</v>
      </c>
      <c r="G170" s="497" t="s">
        <v>448</v>
      </c>
    </row>
    <row r="171" spans="1:7" x14ac:dyDescent="0.2">
      <c r="A171" s="494" t="s">
        <v>2005</v>
      </c>
      <c r="B171" s="496" t="s">
        <v>40</v>
      </c>
      <c r="C171" s="496" t="s">
        <v>448</v>
      </c>
      <c r="D171" s="496" t="s">
        <v>2039</v>
      </c>
      <c r="E171" s="496" t="s">
        <v>1609</v>
      </c>
      <c r="F171" s="505">
        <f>'MCS Budget - Detailed'!N195</f>
        <v>0</v>
      </c>
      <c r="G171" s="497" t="s">
        <v>448</v>
      </c>
    </row>
    <row r="172" spans="1:7" x14ac:dyDescent="0.2">
      <c r="A172" s="496" t="s">
        <v>2005</v>
      </c>
      <c r="B172" s="496" t="s">
        <v>40</v>
      </c>
      <c r="C172" s="496" t="s">
        <v>448</v>
      </c>
      <c r="D172" s="496" t="s">
        <v>2040</v>
      </c>
      <c r="E172" s="496" t="s">
        <v>1609</v>
      </c>
      <c r="F172" s="505">
        <f>'MCS Budget - Detailed'!N197</f>
        <v>6015</v>
      </c>
      <c r="G172" s="497" t="s">
        <v>448</v>
      </c>
    </row>
    <row r="173" spans="1:7" x14ac:dyDescent="0.2">
      <c r="A173" s="496" t="s">
        <v>2005</v>
      </c>
      <c r="B173" s="496" t="s">
        <v>40</v>
      </c>
      <c r="C173" s="496" t="s">
        <v>448</v>
      </c>
      <c r="D173" s="496" t="s">
        <v>2041</v>
      </c>
      <c r="E173" s="496" t="s">
        <v>1609</v>
      </c>
      <c r="F173" s="505">
        <f>'MCS Budget - Detailed'!N198</f>
        <v>150</v>
      </c>
      <c r="G173" s="497" t="s">
        <v>448</v>
      </c>
    </row>
    <row r="174" spans="1:7" x14ac:dyDescent="0.2">
      <c r="A174" s="494" t="s">
        <v>2005</v>
      </c>
      <c r="B174" s="496" t="s">
        <v>40</v>
      </c>
      <c r="C174" s="496" t="s">
        <v>448</v>
      </c>
      <c r="D174" s="496" t="s">
        <v>2042</v>
      </c>
      <c r="E174" s="496" t="s">
        <v>1609</v>
      </c>
      <c r="F174" s="505">
        <f>'MCS Budget - Detailed'!N199</f>
        <v>11</v>
      </c>
      <c r="G174" s="497" t="s">
        <v>448</v>
      </c>
    </row>
    <row r="175" spans="1:7" x14ac:dyDescent="0.2">
      <c r="A175" s="496" t="s">
        <v>2005</v>
      </c>
      <c r="B175" s="496" t="s">
        <v>40</v>
      </c>
      <c r="C175" s="496" t="s">
        <v>448</v>
      </c>
      <c r="D175" s="496" t="s">
        <v>2043</v>
      </c>
      <c r="E175" s="496" t="s">
        <v>1609</v>
      </c>
      <c r="F175" s="505">
        <f>'MCS Budget - Detailed'!N200</f>
        <v>19</v>
      </c>
      <c r="G175" s="497" t="s">
        <v>448</v>
      </c>
    </row>
    <row r="176" spans="1:7" x14ac:dyDescent="0.2">
      <c r="A176" s="494" t="s">
        <v>2005</v>
      </c>
      <c r="B176" s="496" t="s">
        <v>40</v>
      </c>
      <c r="C176" s="496" t="s">
        <v>448</v>
      </c>
      <c r="D176" s="496" t="s">
        <v>2044</v>
      </c>
      <c r="E176" s="496" t="s">
        <v>1609</v>
      </c>
      <c r="F176" s="505">
        <f>'MCS Budget - Detailed'!N201</f>
        <v>90</v>
      </c>
      <c r="G176" s="497" t="s">
        <v>448</v>
      </c>
    </row>
    <row r="177" spans="1:7" x14ac:dyDescent="0.2">
      <c r="A177" s="496" t="s">
        <v>2005</v>
      </c>
      <c r="B177" s="496" t="s">
        <v>40</v>
      </c>
      <c r="C177" s="496" t="s">
        <v>448</v>
      </c>
      <c r="D177" s="496" t="s">
        <v>2045</v>
      </c>
      <c r="E177" s="496" t="s">
        <v>1609</v>
      </c>
      <c r="F177" s="505">
        <f>'MCS Budget - Detailed'!N202</f>
        <v>1258</v>
      </c>
      <c r="G177" s="497" t="s">
        <v>448</v>
      </c>
    </row>
    <row r="178" spans="1:7" x14ac:dyDescent="0.2">
      <c r="A178" s="496" t="s">
        <v>2005</v>
      </c>
      <c r="B178" s="496" t="s">
        <v>40</v>
      </c>
      <c r="C178" s="496" t="s">
        <v>448</v>
      </c>
      <c r="D178" s="496" t="s">
        <v>2046</v>
      </c>
      <c r="E178" s="496" t="s">
        <v>1609</v>
      </c>
      <c r="F178" s="505">
        <f>'MCS Budget - Detailed'!N203</f>
        <v>1029</v>
      </c>
      <c r="G178" s="497" t="s">
        <v>448</v>
      </c>
    </row>
    <row r="179" spans="1:7" x14ac:dyDescent="0.2">
      <c r="A179" s="494" t="s">
        <v>2005</v>
      </c>
      <c r="B179" s="496" t="s">
        <v>40</v>
      </c>
      <c r="C179" s="496" t="s">
        <v>448</v>
      </c>
      <c r="D179" s="496" t="s">
        <v>2562</v>
      </c>
      <c r="E179" s="496" t="s">
        <v>1609</v>
      </c>
      <c r="F179" s="505">
        <f>'MCS Budget - Detailed'!N204</f>
        <v>185</v>
      </c>
      <c r="G179" s="497" t="s">
        <v>448</v>
      </c>
    </row>
    <row r="180" spans="1:7" x14ac:dyDescent="0.2">
      <c r="A180" s="494" t="s">
        <v>2005</v>
      </c>
      <c r="B180" s="496" t="s">
        <v>40</v>
      </c>
      <c r="C180" s="496" t="s">
        <v>448</v>
      </c>
      <c r="D180" s="496" t="s">
        <v>2047</v>
      </c>
      <c r="E180" s="496" t="s">
        <v>1609</v>
      </c>
      <c r="F180" s="505">
        <f>'MCS Budget - Detailed'!N205</f>
        <v>300</v>
      </c>
      <c r="G180" s="497" t="s">
        <v>448</v>
      </c>
    </row>
    <row r="181" spans="1:7" x14ac:dyDescent="0.2">
      <c r="A181" s="494" t="s">
        <v>2005</v>
      </c>
      <c r="B181" s="496" t="s">
        <v>40</v>
      </c>
      <c r="C181" s="496" t="s">
        <v>448</v>
      </c>
      <c r="D181" s="496" t="s">
        <v>1684</v>
      </c>
      <c r="E181" s="496" t="s">
        <v>1609</v>
      </c>
      <c r="F181" s="570">
        <f>'MCS Budget - Detailed'!N207</f>
        <v>7250</v>
      </c>
      <c r="G181" s="497" t="s">
        <v>448</v>
      </c>
    </row>
    <row r="182" spans="1:7" x14ac:dyDescent="0.2">
      <c r="A182" s="496" t="s">
        <v>2005</v>
      </c>
      <c r="B182" s="496" t="s">
        <v>40</v>
      </c>
      <c r="C182" s="496" t="s">
        <v>448</v>
      </c>
      <c r="D182" s="496" t="s">
        <v>1685</v>
      </c>
      <c r="E182" s="496" t="s">
        <v>1609</v>
      </c>
      <c r="F182" s="570">
        <f>'MCS Budget - Detailed'!N208</f>
        <v>22</v>
      </c>
      <c r="G182" s="497" t="s">
        <v>448</v>
      </c>
    </row>
    <row r="183" spans="1:7" x14ac:dyDescent="0.2">
      <c r="A183" s="494" t="s">
        <v>2005</v>
      </c>
      <c r="B183" s="496" t="s">
        <v>40</v>
      </c>
      <c r="C183" s="496" t="s">
        <v>448</v>
      </c>
      <c r="D183" s="496" t="s">
        <v>1686</v>
      </c>
      <c r="E183" s="496" t="s">
        <v>1609</v>
      </c>
      <c r="F183" s="570">
        <f>'MCS Budget - Detailed'!N209</f>
        <v>106</v>
      </c>
      <c r="G183" s="497" t="s">
        <v>448</v>
      </c>
    </row>
    <row r="184" spans="1:7" x14ac:dyDescent="0.2">
      <c r="A184" s="496" t="s">
        <v>2005</v>
      </c>
      <c r="B184" s="496" t="s">
        <v>40</v>
      </c>
      <c r="C184" s="496" t="s">
        <v>448</v>
      </c>
      <c r="D184" s="496" t="s">
        <v>1687</v>
      </c>
      <c r="E184" s="496" t="s">
        <v>1609</v>
      </c>
      <c r="F184" s="570">
        <f>'MCS Budget - Detailed'!N210</f>
        <v>1479</v>
      </c>
      <c r="G184" s="497" t="s">
        <v>448</v>
      </c>
    </row>
    <row r="185" spans="1:7" x14ac:dyDescent="0.2">
      <c r="A185" s="494" t="s">
        <v>2005</v>
      </c>
      <c r="B185" s="496" t="s">
        <v>40</v>
      </c>
      <c r="C185" s="496" t="s">
        <v>448</v>
      </c>
      <c r="D185" s="496" t="s">
        <v>1688</v>
      </c>
      <c r="E185" s="496" t="s">
        <v>1609</v>
      </c>
      <c r="F185" s="570">
        <f>'MCS Budget - Detailed'!N211</f>
        <v>1500</v>
      </c>
      <c r="G185" s="497" t="s">
        <v>448</v>
      </c>
    </row>
    <row r="186" spans="1:7" x14ac:dyDescent="0.2">
      <c r="A186" s="494" t="s">
        <v>2005</v>
      </c>
      <c r="B186" s="496" t="s">
        <v>40</v>
      </c>
      <c r="C186" s="496" t="s">
        <v>448</v>
      </c>
      <c r="D186" s="496" t="s">
        <v>2048</v>
      </c>
      <c r="E186" s="496" t="s">
        <v>1609</v>
      </c>
      <c r="F186" s="570">
        <f>'MCS Budget - Detailed'!N212</f>
        <v>200</v>
      </c>
      <c r="G186" s="497" t="s">
        <v>448</v>
      </c>
    </row>
    <row r="187" spans="1:7" x14ac:dyDescent="0.2">
      <c r="A187" s="494" t="s">
        <v>2005</v>
      </c>
      <c r="B187" s="496" t="s">
        <v>40</v>
      </c>
      <c r="C187" s="496" t="s">
        <v>448</v>
      </c>
      <c r="D187" s="496" t="s">
        <v>2049</v>
      </c>
      <c r="E187" s="496" t="s">
        <v>1609</v>
      </c>
      <c r="F187" s="570">
        <f>'MCS Budget - Detailed'!N213</f>
        <v>520</v>
      </c>
      <c r="G187" s="497" t="s">
        <v>448</v>
      </c>
    </row>
    <row r="188" spans="1:7" x14ac:dyDescent="0.2">
      <c r="A188" s="494" t="s">
        <v>2005</v>
      </c>
      <c r="B188" s="496" t="s">
        <v>40</v>
      </c>
      <c r="C188" s="496" t="s">
        <v>448</v>
      </c>
      <c r="D188" s="496" t="s">
        <v>2050</v>
      </c>
      <c r="E188" s="496" t="s">
        <v>1609</v>
      </c>
      <c r="F188" s="570">
        <f>'MCS Budget - Detailed'!N214</f>
        <v>400</v>
      </c>
      <c r="G188" s="497" t="s">
        <v>448</v>
      </c>
    </row>
    <row r="189" spans="1:7" x14ac:dyDescent="0.2">
      <c r="A189" s="494" t="s">
        <v>2005</v>
      </c>
      <c r="B189" s="496" t="s">
        <v>40</v>
      </c>
      <c r="C189" s="496" t="s">
        <v>448</v>
      </c>
      <c r="D189" s="496" t="s">
        <v>2051</v>
      </c>
      <c r="E189" s="496" t="s">
        <v>1609</v>
      </c>
      <c r="F189" s="570">
        <f>'MCS Budget - Detailed'!N215</f>
        <v>4662</v>
      </c>
      <c r="G189" s="497" t="s">
        <v>448</v>
      </c>
    </row>
    <row r="190" spans="1:7" x14ac:dyDescent="0.2">
      <c r="A190" s="494" t="s">
        <v>2005</v>
      </c>
      <c r="B190" s="496" t="s">
        <v>40</v>
      </c>
      <c r="C190" s="496" t="s">
        <v>448</v>
      </c>
      <c r="D190" s="496" t="s">
        <v>2052</v>
      </c>
      <c r="E190" s="496" t="s">
        <v>1609</v>
      </c>
      <c r="F190" s="570">
        <f>'MCS Budget - Detailed'!N216</f>
        <v>1000</v>
      </c>
      <c r="G190" s="497" t="s">
        <v>448</v>
      </c>
    </row>
    <row r="191" spans="1:7" x14ac:dyDescent="0.2">
      <c r="A191" s="496" t="s">
        <v>2005</v>
      </c>
      <c r="B191" s="496" t="s">
        <v>40</v>
      </c>
      <c r="C191" s="496" t="s">
        <v>448</v>
      </c>
      <c r="D191" s="496" t="s">
        <v>2053</v>
      </c>
      <c r="E191" s="496" t="s">
        <v>1609</v>
      </c>
      <c r="F191" s="505">
        <f>'MCS Budget - Detailed'!N219</f>
        <v>3938</v>
      </c>
      <c r="G191" s="497" t="s">
        <v>448</v>
      </c>
    </row>
    <row r="192" spans="1:7" x14ac:dyDescent="0.2">
      <c r="A192" s="494" t="s">
        <v>2005</v>
      </c>
      <c r="B192" s="496" t="s">
        <v>40</v>
      </c>
      <c r="C192" s="496" t="s">
        <v>448</v>
      </c>
      <c r="D192" s="496" t="s">
        <v>2054</v>
      </c>
      <c r="E192" s="496" t="s">
        <v>1609</v>
      </c>
      <c r="F192" s="505">
        <f>'MCS Budget - Detailed'!N220</f>
        <v>150</v>
      </c>
      <c r="G192" s="497" t="s">
        <v>448</v>
      </c>
    </row>
    <row r="193" spans="1:7" x14ac:dyDescent="0.2">
      <c r="A193" s="496" t="s">
        <v>2005</v>
      </c>
      <c r="B193" s="496" t="s">
        <v>40</v>
      </c>
      <c r="C193" s="496" t="s">
        <v>448</v>
      </c>
      <c r="D193" s="496" t="s">
        <v>2055</v>
      </c>
      <c r="E193" s="496" t="s">
        <v>1609</v>
      </c>
      <c r="F193" s="505">
        <f>'MCS Budget - Detailed'!N221</f>
        <v>11</v>
      </c>
      <c r="G193" s="497" t="s">
        <v>448</v>
      </c>
    </row>
    <row r="194" spans="1:7" x14ac:dyDescent="0.2">
      <c r="A194" s="494" t="s">
        <v>2005</v>
      </c>
      <c r="B194" s="496" t="s">
        <v>40</v>
      </c>
      <c r="C194" s="496" t="s">
        <v>448</v>
      </c>
      <c r="D194" s="496" t="s">
        <v>2056</v>
      </c>
      <c r="E194" s="496" t="s">
        <v>1609</v>
      </c>
      <c r="F194" s="505">
        <f>'MCS Budget - Detailed'!N222</f>
        <v>13</v>
      </c>
      <c r="G194" s="497" t="s">
        <v>448</v>
      </c>
    </row>
    <row r="195" spans="1:7" x14ac:dyDescent="0.2">
      <c r="A195" s="496" t="s">
        <v>2005</v>
      </c>
      <c r="B195" s="496" t="s">
        <v>40</v>
      </c>
      <c r="C195" s="496" t="s">
        <v>448</v>
      </c>
      <c r="D195" s="496" t="s">
        <v>2057</v>
      </c>
      <c r="E195" s="496" t="s">
        <v>1609</v>
      </c>
      <c r="F195" s="505">
        <f>'MCS Budget - Detailed'!N223</f>
        <v>60</v>
      </c>
      <c r="G195" s="497" t="s">
        <v>448</v>
      </c>
    </row>
    <row r="196" spans="1:7" x14ac:dyDescent="0.2">
      <c r="A196" s="494" t="s">
        <v>2005</v>
      </c>
      <c r="B196" s="496" t="s">
        <v>40</v>
      </c>
      <c r="C196" s="496" t="s">
        <v>448</v>
      </c>
      <c r="D196" s="496" t="s">
        <v>2058</v>
      </c>
      <c r="E196" s="496" t="s">
        <v>1609</v>
      </c>
      <c r="F196" s="505">
        <f>'MCS Budget - Detailed'!N224</f>
        <v>841</v>
      </c>
      <c r="G196" s="497" t="s">
        <v>448</v>
      </c>
    </row>
    <row r="197" spans="1:7" x14ac:dyDescent="0.2">
      <c r="A197" s="496" t="s">
        <v>2005</v>
      </c>
      <c r="B197" s="496" t="s">
        <v>40</v>
      </c>
      <c r="C197" s="496" t="s">
        <v>448</v>
      </c>
      <c r="D197" s="496" t="s">
        <v>2059</v>
      </c>
      <c r="E197" s="496" t="s">
        <v>1609</v>
      </c>
      <c r="F197" s="505">
        <f>'MCS Budget - Detailed'!N225</f>
        <v>1029</v>
      </c>
      <c r="G197" s="497" t="s">
        <v>448</v>
      </c>
    </row>
    <row r="198" spans="1:7" x14ac:dyDescent="0.2">
      <c r="A198" s="494" t="s">
        <v>2005</v>
      </c>
      <c r="B198" s="496" t="s">
        <v>40</v>
      </c>
      <c r="C198" s="496" t="s">
        <v>448</v>
      </c>
      <c r="D198" s="496" t="s">
        <v>2563</v>
      </c>
      <c r="E198" s="496" t="s">
        <v>1609</v>
      </c>
      <c r="F198" s="505">
        <f>'MCS Budget - Detailed'!N226</f>
        <v>123</v>
      </c>
      <c r="G198" s="497" t="s">
        <v>448</v>
      </c>
    </row>
    <row r="199" spans="1:7" x14ac:dyDescent="0.2">
      <c r="A199" s="494" t="s">
        <v>2005</v>
      </c>
      <c r="B199" s="496" t="s">
        <v>40</v>
      </c>
      <c r="C199" s="496" t="s">
        <v>448</v>
      </c>
      <c r="D199" s="496" t="s">
        <v>2060</v>
      </c>
      <c r="E199" s="496" t="s">
        <v>1609</v>
      </c>
      <c r="F199" s="505">
        <f>'MCS Budget - Detailed'!N227</f>
        <v>300</v>
      </c>
      <c r="G199" s="497" t="s">
        <v>448</v>
      </c>
    </row>
    <row r="200" spans="1:7" x14ac:dyDescent="0.2">
      <c r="A200" s="496" t="s">
        <v>2005</v>
      </c>
      <c r="B200" s="496" t="s">
        <v>40</v>
      </c>
      <c r="C200" s="496" t="s">
        <v>448</v>
      </c>
      <c r="D200" s="496" t="s">
        <v>1689</v>
      </c>
      <c r="E200" s="496" t="s">
        <v>1609</v>
      </c>
      <c r="F200" s="505">
        <f>'MCS Budget - Detailed'!N229</f>
        <v>27510</v>
      </c>
      <c r="G200" s="497" t="s">
        <v>448</v>
      </c>
    </row>
    <row r="201" spans="1:7" x14ac:dyDescent="0.2">
      <c r="A201" s="494" t="s">
        <v>2005</v>
      </c>
      <c r="B201" s="496" t="s">
        <v>40</v>
      </c>
      <c r="C201" s="496" t="s">
        <v>448</v>
      </c>
      <c r="D201" s="496" t="s">
        <v>1690</v>
      </c>
      <c r="E201" s="496" t="s">
        <v>1609</v>
      </c>
      <c r="F201" s="505">
        <f>'MCS Budget - Detailed'!N230</f>
        <v>600</v>
      </c>
      <c r="G201" s="497" t="s">
        <v>448</v>
      </c>
    </row>
    <row r="202" spans="1:7" x14ac:dyDescent="0.2">
      <c r="A202" s="496" t="s">
        <v>2005</v>
      </c>
      <c r="B202" s="496" t="s">
        <v>40</v>
      </c>
      <c r="C202" s="496" t="s">
        <v>448</v>
      </c>
      <c r="D202" s="496" t="s">
        <v>1691</v>
      </c>
      <c r="E202" s="496" t="s">
        <v>1609</v>
      </c>
      <c r="F202" s="505">
        <f>'MCS Budget - Detailed'!N231</f>
        <v>22</v>
      </c>
      <c r="G202" s="497" t="s">
        <v>448</v>
      </c>
    </row>
    <row r="203" spans="1:7" x14ac:dyDescent="0.2">
      <c r="A203" s="494" t="s">
        <v>2005</v>
      </c>
      <c r="B203" s="496" t="s">
        <v>40</v>
      </c>
      <c r="C203" s="496" t="s">
        <v>448</v>
      </c>
      <c r="D203" s="496" t="s">
        <v>1692</v>
      </c>
      <c r="E203" s="496" t="s">
        <v>1609</v>
      </c>
      <c r="F203" s="505">
        <f>'MCS Budget - Detailed'!N232</f>
        <v>85</v>
      </c>
      <c r="G203" s="497" t="s">
        <v>448</v>
      </c>
    </row>
    <row r="204" spans="1:7" x14ac:dyDescent="0.2">
      <c r="A204" s="496" t="s">
        <v>2005</v>
      </c>
      <c r="B204" s="496" t="s">
        <v>40</v>
      </c>
      <c r="C204" s="496" t="s">
        <v>448</v>
      </c>
      <c r="D204" s="496" t="s">
        <v>1693</v>
      </c>
      <c r="E204" s="496" t="s">
        <v>1609</v>
      </c>
      <c r="F204" s="505">
        <f>'MCS Budget - Detailed'!N233</f>
        <v>408</v>
      </c>
      <c r="G204" s="497" t="s">
        <v>448</v>
      </c>
    </row>
    <row r="205" spans="1:7" x14ac:dyDescent="0.2">
      <c r="A205" s="494" t="s">
        <v>2005</v>
      </c>
      <c r="B205" s="496" t="s">
        <v>40</v>
      </c>
      <c r="C205" s="496" t="s">
        <v>448</v>
      </c>
      <c r="D205" s="496" t="s">
        <v>1694</v>
      </c>
      <c r="E205" s="496" t="s">
        <v>1609</v>
      </c>
      <c r="F205" s="505">
        <f>'MCS Budget - Detailed'!N234</f>
        <v>5735</v>
      </c>
      <c r="G205" s="497" t="s">
        <v>448</v>
      </c>
    </row>
    <row r="206" spans="1:7" x14ac:dyDescent="0.2">
      <c r="A206" s="496" t="s">
        <v>2005</v>
      </c>
      <c r="B206" s="496" t="s">
        <v>40</v>
      </c>
      <c r="C206" s="496" t="s">
        <v>448</v>
      </c>
      <c r="D206" s="496" t="s">
        <v>1695</v>
      </c>
      <c r="E206" s="496" t="s">
        <v>1609</v>
      </c>
      <c r="F206" s="505">
        <f>'MCS Budget - Detailed'!N235</f>
        <v>4113</v>
      </c>
      <c r="G206" s="497" t="s">
        <v>448</v>
      </c>
    </row>
    <row r="207" spans="1:7" x14ac:dyDescent="0.2">
      <c r="A207" s="494" t="s">
        <v>2005</v>
      </c>
      <c r="B207" s="496" t="s">
        <v>40</v>
      </c>
      <c r="C207" s="496" t="s">
        <v>448</v>
      </c>
      <c r="D207" s="496" t="s">
        <v>2564</v>
      </c>
      <c r="E207" s="496" t="s">
        <v>1609</v>
      </c>
      <c r="F207" s="505">
        <f>'MCS Budget - Detailed'!N236</f>
        <v>844</v>
      </c>
      <c r="G207" s="497" t="s">
        <v>448</v>
      </c>
    </row>
    <row r="208" spans="1:7" x14ac:dyDescent="0.2">
      <c r="A208" s="494" t="s">
        <v>2005</v>
      </c>
      <c r="B208" s="496" t="s">
        <v>40</v>
      </c>
      <c r="C208" s="496" t="s">
        <v>448</v>
      </c>
      <c r="D208" s="496" t="s">
        <v>1696</v>
      </c>
      <c r="E208" s="496" t="s">
        <v>1609</v>
      </c>
      <c r="F208" s="505">
        <f>'MCS Budget - Detailed'!N237</f>
        <v>400</v>
      </c>
      <c r="G208" s="497" t="s">
        <v>448</v>
      </c>
    </row>
    <row r="209" spans="1:7" x14ac:dyDescent="0.2">
      <c r="A209" s="496" t="s">
        <v>2005</v>
      </c>
      <c r="B209" s="496" t="s">
        <v>40</v>
      </c>
      <c r="C209" s="496" t="s">
        <v>448</v>
      </c>
      <c r="D209" s="496" t="s">
        <v>1697</v>
      </c>
      <c r="E209" s="496" t="s">
        <v>1609</v>
      </c>
      <c r="F209" s="505">
        <f>'MCS Budget - Detailed'!N240</f>
        <v>18045</v>
      </c>
      <c r="G209" s="497" t="s">
        <v>448</v>
      </c>
    </row>
    <row r="210" spans="1:7" x14ac:dyDescent="0.2">
      <c r="A210" s="494" t="s">
        <v>2005</v>
      </c>
      <c r="B210" s="496" t="s">
        <v>40</v>
      </c>
      <c r="C210" s="496" t="s">
        <v>448</v>
      </c>
      <c r="D210" s="496" t="s">
        <v>1698</v>
      </c>
      <c r="E210" s="496" t="s">
        <v>1609</v>
      </c>
      <c r="F210" s="505">
        <f>'MCS Budget - Detailed'!N241</f>
        <v>450</v>
      </c>
      <c r="G210" s="497" t="s">
        <v>448</v>
      </c>
    </row>
    <row r="211" spans="1:7" x14ac:dyDescent="0.2">
      <c r="A211" s="496" t="s">
        <v>2005</v>
      </c>
      <c r="B211" s="496" t="s">
        <v>40</v>
      </c>
      <c r="C211" s="496" t="s">
        <v>448</v>
      </c>
      <c r="D211" s="496" t="s">
        <v>1699</v>
      </c>
      <c r="E211" s="496" t="s">
        <v>1609</v>
      </c>
      <c r="F211" s="505">
        <f>'MCS Budget - Detailed'!N242</f>
        <v>33</v>
      </c>
      <c r="G211" s="497" t="s">
        <v>448</v>
      </c>
    </row>
    <row r="212" spans="1:7" x14ac:dyDescent="0.2">
      <c r="A212" s="494" t="s">
        <v>2005</v>
      </c>
      <c r="B212" s="496" t="s">
        <v>40</v>
      </c>
      <c r="C212" s="496" t="s">
        <v>448</v>
      </c>
      <c r="D212" s="496" t="s">
        <v>1700</v>
      </c>
      <c r="E212" s="496" t="s">
        <v>1609</v>
      </c>
      <c r="F212" s="505">
        <f>'MCS Budget - Detailed'!N243</f>
        <v>56</v>
      </c>
      <c r="G212" s="497" t="s">
        <v>448</v>
      </c>
    </row>
    <row r="213" spans="1:7" x14ac:dyDescent="0.2">
      <c r="A213" s="496" t="s">
        <v>2005</v>
      </c>
      <c r="B213" s="496" t="s">
        <v>40</v>
      </c>
      <c r="C213" s="496" t="s">
        <v>448</v>
      </c>
      <c r="D213" s="496" t="s">
        <v>1701</v>
      </c>
      <c r="E213" s="496" t="s">
        <v>1609</v>
      </c>
      <c r="F213" s="505">
        <f>'MCS Budget - Detailed'!N244</f>
        <v>269</v>
      </c>
      <c r="G213" s="497" t="s">
        <v>448</v>
      </c>
    </row>
    <row r="214" spans="1:7" x14ac:dyDescent="0.2">
      <c r="A214" s="494" t="s">
        <v>2005</v>
      </c>
      <c r="B214" s="496" t="s">
        <v>40</v>
      </c>
      <c r="C214" s="496" t="s">
        <v>448</v>
      </c>
      <c r="D214" s="496" t="s">
        <v>1702</v>
      </c>
      <c r="E214" s="496" t="s">
        <v>1609</v>
      </c>
      <c r="F214" s="505">
        <f>'MCS Budget - Detailed'!N245</f>
        <v>3773</v>
      </c>
      <c r="G214" s="497" t="s">
        <v>448</v>
      </c>
    </row>
    <row r="215" spans="1:7" x14ac:dyDescent="0.2">
      <c r="A215" s="496" t="s">
        <v>2005</v>
      </c>
      <c r="B215" s="496" t="s">
        <v>40</v>
      </c>
      <c r="C215" s="496" t="s">
        <v>448</v>
      </c>
      <c r="D215" s="496" t="s">
        <v>1703</v>
      </c>
      <c r="E215" s="496" t="s">
        <v>1609</v>
      </c>
      <c r="F215" s="505">
        <f>'MCS Budget - Detailed'!N246</f>
        <v>3085</v>
      </c>
      <c r="G215" s="497" t="s">
        <v>448</v>
      </c>
    </row>
    <row r="216" spans="1:7" x14ac:dyDescent="0.2">
      <c r="A216" s="494" t="s">
        <v>2005</v>
      </c>
      <c r="B216" s="496" t="s">
        <v>40</v>
      </c>
      <c r="C216" s="496" t="s">
        <v>448</v>
      </c>
      <c r="D216" s="496" t="s">
        <v>2565</v>
      </c>
      <c r="E216" s="496" t="s">
        <v>1609</v>
      </c>
      <c r="F216" s="505">
        <f>'MCS Budget - Detailed'!N247</f>
        <v>555</v>
      </c>
      <c r="G216" s="497" t="s">
        <v>448</v>
      </c>
    </row>
    <row r="217" spans="1:7" x14ac:dyDescent="0.2">
      <c r="A217" s="494" t="s">
        <v>2005</v>
      </c>
      <c r="B217" s="496" t="s">
        <v>40</v>
      </c>
      <c r="C217" s="496" t="s">
        <v>448</v>
      </c>
      <c r="D217" s="496" t="s">
        <v>1704</v>
      </c>
      <c r="E217" s="496" t="s">
        <v>1609</v>
      </c>
      <c r="F217" s="505">
        <f>'MCS Budget - Detailed'!N248</f>
        <v>300</v>
      </c>
      <c r="G217" s="497" t="s">
        <v>448</v>
      </c>
    </row>
    <row r="218" spans="1:7" x14ac:dyDescent="0.2">
      <c r="A218" s="494" t="s">
        <v>2005</v>
      </c>
      <c r="B218" s="496" t="s">
        <v>40</v>
      </c>
      <c r="C218" s="496" t="s">
        <v>448</v>
      </c>
      <c r="D218" s="496" t="s">
        <v>2566</v>
      </c>
      <c r="E218" s="496" t="s">
        <v>1609</v>
      </c>
      <c r="F218" s="505">
        <f>'MCS Budget - Detailed'!N258</f>
        <v>300</v>
      </c>
      <c r="G218" s="497" t="s">
        <v>448</v>
      </c>
    </row>
    <row r="219" spans="1:7" x14ac:dyDescent="0.2">
      <c r="A219" s="496" t="s">
        <v>2005</v>
      </c>
      <c r="B219" s="496" t="s">
        <v>40</v>
      </c>
      <c r="C219" s="496" t="s">
        <v>448</v>
      </c>
      <c r="D219" s="496" t="s">
        <v>2567</v>
      </c>
      <c r="E219" s="496" t="s">
        <v>1609</v>
      </c>
      <c r="F219" s="505">
        <f>'MCS Budget - Detailed'!N260</f>
        <v>12275</v>
      </c>
      <c r="G219" s="497" t="s">
        <v>448</v>
      </c>
    </row>
    <row r="220" spans="1:7" x14ac:dyDescent="0.2">
      <c r="A220" s="496" t="s">
        <v>2005</v>
      </c>
      <c r="B220" s="496" t="s">
        <v>40</v>
      </c>
      <c r="C220" s="496" t="s">
        <v>448</v>
      </c>
      <c r="D220" s="496" t="s">
        <v>1705</v>
      </c>
      <c r="E220" s="496" t="s">
        <v>1609</v>
      </c>
      <c r="F220" s="505">
        <f>'MCS Budget - Detailed'!N261</f>
        <v>0</v>
      </c>
      <c r="G220" s="497" t="s">
        <v>448</v>
      </c>
    </row>
    <row r="221" spans="1:7" x14ac:dyDescent="0.2">
      <c r="A221" s="494" t="s">
        <v>2005</v>
      </c>
      <c r="B221" s="496" t="s">
        <v>40</v>
      </c>
      <c r="C221" s="496" t="s">
        <v>448</v>
      </c>
      <c r="D221" s="496" t="s">
        <v>2568</v>
      </c>
      <c r="E221" s="496" t="s">
        <v>1609</v>
      </c>
      <c r="F221" s="505">
        <f>'MCS Budget - Detailed'!N262</f>
        <v>300</v>
      </c>
      <c r="G221" s="497" t="s">
        <v>448</v>
      </c>
    </row>
    <row r="222" spans="1:7" x14ac:dyDescent="0.2">
      <c r="A222" s="494" t="s">
        <v>2005</v>
      </c>
      <c r="B222" s="496" t="s">
        <v>40</v>
      </c>
      <c r="C222" s="496" t="s">
        <v>448</v>
      </c>
      <c r="D222" s="496" t="s">
        <v>1706</v>
      </c>
      <c r="E222" s="496" t="s">
        <v>1609</v>
      </c>
      <c r="F222" s="505">
        <f>'MCS Budget - Detailed'!N263</f>
        <v>0</v>
      </c>
      <c r="G222" s="497" t="s">
        <v>448</v>
      </c>
    </row>
    <row r="223" spans="1:7" x14ac:dyDescent="0.2">
      <c r="A223" s="496" t="s">
        <v>2005</v>
      </c>
      <c r="B223" s="496" t="s">
        <v>40</v>
      </c>
      <c r="C223" s="496" t="s">
        <v>448</v>
      </c>
      <c r="D223" s="496" t="s">
        <v>2569</v>
      </c>
      <c r="E223" s="496" t="s">
        <v>1609</v>
      </c>
      <c r="F223" s="505">
        <f>'MCS Budget - Detailed'!N264</f>
        <v>22</v>
      </c>
      <c r="G223" s="497" t="s">
        <v>448</v>
      </c>
    </row>
    <row r="224" spans="1:7" x14ac:dyDescent="0.2">
      <c r="A224" s="496" t="s">
        <v>2005</v>
      </c>
      <c r="B224" s="496" t="s">
        <v>40</v>
      </c>
      <c r="C224" s="496" t="s">
        <v>448</v>
      </c>
      <c r="D224" s="496" t="s">
        <v>1707</v>
      </c>
      <c r="E224" s="496" t="s">
        <v>1609</v>
      </c>
      <c r="F224" s="505">
        <f>'MCS Budget - Detailed'!N265</f>
        <v>0</v>
      </c>
      <c r="G224" s="497" t="s">
        <v>448</v>
      </c>
    </row>
    <row r="225" spans="1:7" x14ac:dyDescent="0.2">
      <c r="A225" s="494" t="s">
        <v>2005</v>
      </c>
      <c r="B225" s="496" t="s">
        <v>40</v>
      </c>
      <c r="C225" s="496" t="s">
        <v>448</v>
      </c>
      <c r="D225" s="496" t="s">
        <v>2570</v>
      </c>
      <c r="E225" s="496" t="s">
        <v>1609</v>
      </c>
      <c r="F225" s="505">
        <f>'MCS Budget - Detailed'!N266</f>
        <v>38</v>
      </c>
      <c r="G225" s="497" t="s">
        <v>448</v>
      </c>
    </row>
    <row r="226" spans="1:7" x14ac:dyDescent="0.2">
      <c r="A226" s="494" t="s">
        <v>2005</v>
      </c>
      <c r="B226" s="496" t="s">
        <v>40</v>
      </c>
      <c r="C226" s="496" t="s">
        <v>448</v>
      </c>
      <c r="D226" s="496" t="s">
        <v>1708</v>
      </c>
      <c r="E226" s="496" t="s">
        <v>1609</v>
      </c>
      <c r="F226" s="505">
        <f>'MCS Budget - Detailed'!N267</f>
        <v>0</v>
      </c>
      <c r="G226" s="497" t="s">
        <v>448</v>
      </c>
    </row>
    <row r="227" spans="1:7" x14ac:dyDescent="0.2">
      <c r="A227" s="496" t="s">
        <v>2005</v>
      </c>
      <c r="B227" s="496" t="s">
        <v>40</v>
      </c>
      <c r="C227" s="496" t="s">
        <v>448</v>
      </c>
      <c r="D227" s="496" t="s">
        <v>2571</v>
      </c>
      <c r="E227" s="496" t="s">
        <v>1609</v>
      </c>
      <c r="F227" s="505">
        <f>'MCS Budget - Detailed'!N268</f>
        <v>184</v>
      </c>
      <c r="G227" s="497" t="s">
        <v>448</v>
      </c>
    </row>
    <row r="228" spans="1:7" x14ac:dyDescent="0.2">
      <c r="A228" s="496" t="s">
        <v>2005</v>
      </c>
      <c r="B228" s="496" t="s">
        <v>40</v>
      </c>
      <c r="C228" s="496" t="s">
        <v>448</v>
      </c>
      <c r="D228" s="496" t="s">
        <v>1709</v>
      </c>
      <c r="E228" s="496" t="s">
        <v>1609</v>
      </c>
      <c r="F228" s="505">
        <f>'MCS Budget - Detailed'!N269</f>
        <v>0</v>
      </c>
      <c r="G228" s="497" t="s">
        <v>448</v>
      </c>
    </row>
    <row r="229" spans="1:7" x14ac:dyDescent="0.2">
      <c r="A229" s="494" t="s">
        <v>2005</v>
      </c>
      <c r="B229" s="496" t="s">
        <v>40</v>
      </c>
      <c r="C229" s="496" t="s">
        <v>448</v>
      </c>
      <c r="D229" s="496" t="s">
        <v>2572</v>
      </c>
      <c r="E229" s="496" t="s">
        <v>1609</v>
      </c>
      <c r="F229" s="505">
        <f>'MCS Budget - Detailed'!N270</f>
        <v>2566</v>
      </c>
      <c r="G229" s="497" t="s">
        <v>448</v>
      </c>
    </row>
    <row r="230" spans="1:7" x14ac:dyDescent="0.2">
      <c r="A230" s="494" t="s">
        <v>2005</v>
      </c>
      <c r="B230" s="496" t="s">
        <v>40</v>
      </c>
      <c r="C230" s="496" t="s">
        <v>448</v>
      </c>
      <c r="D230" s="496" t="s">
        <v>1710</v>
      </c>
      <c r="E230" s="496" t="s">
        <v>1609</v>
      </c>
      <c r="F230" s="505">
        <f>'MCS Budget - Detailed'!N271</f>
        <v>0</v>
      </c>
      <c r="G230" s="497" t="s">
        <v>448</v>
      </c>
    </row>
    <row r="231" spans="1:7" x14ac:dyDescent="0.2">
      <c r="A231" s="496" t="s">
        <v>2005</v>
      </c>
      <c r="B231" s="496" t="s">
        <v>40</v>
      </c>
      <c r="C231" s="496" t="s">
        <v>448</v>
      </c>
      <c r="D231" s="496" t="s">
        <v>2573</v>
      </c>
      <c r="E231" s="496" t="s">
        <v>1609</v>
      </c>
      <c r="F231" s="505">
        <f>'MCS Budget - Detailed'!N272</f>
        <v>2057</v>
      </c>
      <c r="G231" s="497" t="s">
        <v>448</v>
      </c>
    </row>
    <row r="232" spans="1:7" x14ac:dyDescent="0.2">
      <c r="A232" s="496" t="s">
        <v>2005</v>
      </c>
      <c r="B232" s="496" t="s">
        <v>40</v>
      </c>
      <c r="C232" s="496" t="s">
        <v>448</v>
      </c>
      <c r="D232" s="496" t="s">
        <v>1711</v>
      </c>
      <c r="E232" s="496" t="s">
        <v>1609</v>
      </c>
      <c r="F232" s="505">
        <f>'MCS Budget - Detailed'!N273</f>
        <v>0</v>
      </c>
      <c r="G232" s="497" t="s">
        <v>448</v>
      </c>
    </row>
    <row r="233" spans="1:7" x14ac:dyDescent="0.2">
      <c r="A233" s="494" t="s">
        <v>2005</v>
      </c>
      <c r="B233" s="496" t="s">
        <v>40</v>
      </c>
      <c r="C233" s="496" t="s">
        <v>448</v>
      </c>
      <c r="D233" s="496" t="s">
        <v>2578</v>
      </c>
      <c r="E233" s="496" t="s">
        <v>1609</v>
      </c>
      <c r="F233" s="505">
        <f>'MCS Budget - Detailed'!N274</f>
        <v>378</v>
      </c>
      <c r="G233" s="497" t="s">
        <v>448</v>
      </c>
    </row>
    <row r="234" spans="1:7" x14ac:dyDescent="0.2">
      <c r="A234" s="494" t="s">
        <v>2005</v>
      </c>
      <c r="B234" s="496" t="s">
        <v>40</v>
      </c>
      <c r="C234" s="496" t="s">
        <v>448</v>
      </c>
      <c r="D234" s="496" t="s">
        <v>2574</v>
      </c>
      <c r="E234" s="496" t="s">
        <v>1609</v>
      </c>
      <c r="F234" s="505">
        <f>'MCS Budget - Detailed'!N275</f>
        <v>900</v>
      </c>
      <c r="G234" s="497" t="s">
        <v>448</v>
      </c>
    </row>
    <row r="235" spans="1:7" x14ac:dyDescent="0.2">
      <c r="A235" s="494" t="s">
        <v>2005</v>
      </c>
      <c r="B235" s="496" t="s">
        <v>40</v>
      </c>
      <c r="C235" s="496" t="s">
        <v>448</v>
      </c>
      <c r="D235" s="496" t="s">
        <v>1712</v>
      </c>
      <c r="E235" s="496" t="s">
        <v>1609</v>
      </c>
      <c r="F235" s="505">
        <f>'MCS Budget - Detailed'!N276</f>
        <v>0</v>
      </c>
      <c r="G235" s="497" t="s">
        <v>448</v>
      </c>
    </row>
    <row r="236" spans="1:7" x14ac:dyDescent="0.2">
      <c r="A236" s="496" t="s">
        <v>2005</v>
      </c>
      <c r="B236" s="496" t="s">
        <v>40</v>
      </c>
      <c r="C236" s="496" t="s">
        <v>448</v>
      </c>
      <c r="D236" s="496" t="s">
        <v>2575</v>
      </c>
      <c r="E236" s="496" t="s">
        <v>1609</v>
      </c>
      <c r="F236" s="505">
        <f>'MCS Budget - Detailed'!N277</f>
        <v>1000</v>
      </c>
      <c r="G236" s="497" t="s">
        <v>448</v>
      </c>
    </row>
    <row r="237" spans="1:7" x14ac:dyDescent="0.2">
      <c r="A237" s="496" t="s">
        <v>2005</v>
      </c>
      <c r="B237" s="496" t="s">
        <v>40</v>
      </c>
      <c r="C237" s="496" t="s">
        <v>448</v>
      </c>
      <c r="D237" s="496" t="s">
        <v>2061</v>
      </c>
      <c r="E237" s="496" t="s">
        <v>1609</v>
      </c>
      <c r="F237" s="505">
        <f>'MCS Budget - Detailed'!N278</f>
        <v>0</v>
      </c>
      <c r="G237" s="497" t="s">
        <v>448</v>
      </c>
    </row>
    <row r="238" spans="1:7" x14ac:dyDescent="0.2">
      <c r="A238" s="496" t="s">
        <v>2005</v>
      </c>
      <c r="B238" s="496" t="s">
        <v>40</v>
      </c>
      <c r="C238" s="496" t="s">
        <v>448</v>
      </c>
      <c r="D238" s="496" t="s">
        <v>2576</v>
      </c>
      <c r="E238" s="496" t="s">
        <v>1609</v>
      </c>
      <c r="F238" s="505">
        <f>'MCS Budget - Detailed'!N279</f>
        <v>2000</v>
      </c>
      <c r="G238" s="497" t="s">
        <v>448</v>
      </c>
    </row>
    <row r="239" spans="1:7" x14ac:dyDescent="0.2">
      <c r="A239" s="496" t="s">
        <v>2005</v>
      </c>
      <c r="B239" s="496" t="s">
        <v>40</v>
      </c>
      <c r="C239" s="496" t="s">
        <v>448</v>
      </c>
      <c r="D239" s="496" t="s">
        <v>1713</v>
      </c>
      <c r="E239" s="496" t="s">
        <v>1609</v>
      </c>
      <c r="F239" s="505">
        <f>'MCS Budget - Detailed'!N280</f>
        <v>0</v>
      </c>
      <c r="G239" s="497" t="s">
        <v>448</v>
      </c>
    </row>
    <row r="240" spans="1:7" x14ac:dyDescent="0.2">
      <c r="A240" s="496" t="s">
        <v>2005</v>
      </c>
      <c r="B240" s="496" t="s">
        <v>40</v>
      </c>
      <c r="C240" s="496" t="s">
        <v>448</v>
      </c>
      <c r="D240" s="496" t="s">
        <v>2577</v>
      </c>
      <c r="E240" s="496" t="s">
        <v>1609</v>
      </c>
      <c r="F240" s="505">
        <f>'MCS Budget - Detailed'!N282</f>
        <v>500</v>
      </c>
      <c r="G240" s="497" t="s">
        <v>448</v>
      </c>
    </row>
    <row r="241" spans="1:7" x14ac:dyDescent="0.2">
      <c r="A241" s="496" t="s">
        <v>2005</v>
      </c>
      <c r="B241" s="496" t="s">
        <v>40</v>
      </c>
      <c r="C241" s="496" t="s">
        <v>448</v>
      </c>
      <c r="D241" s="496" t="s">
        <v>2062</v>
      </c>
      <c r="E241" s="496" t="s">
        <v>1609</v>
      </c>
      <c r="F241" s="505">
        <f>'MCS Budget - Detailed'!N283</f>
        <v>0</v>
      </c>
      <c r="G241" s="497" t="s">
        <v>448</v>
      </c>
    </row>
    <row r="242" spans="1:7" x14ac:dyDescent="0.2">
      <c r="A242" s="494" t="s">
        <v>2005</v>
      </c>
      <c r="B242" s="496" t="s">
        <v>40</v>
      </c>
      <c r="C242" s="496" t="s">
        <v>448</v>
      </c>
      <c r="D242" s="496" t="s">
        <v>1714</v>
      </c>
      <c r="E242" s="496" t="s">
        <v>1609</v>
      </c>
      <c r="F242" s="505">
        <f>'MCS Budget - Detailed'!N286</f>
        <v>20181</v>
      </c>
      <c r="G242" s="497" t="s">
        <v>448</v>
      </c>
    </row>
    <row r="243" spans="1:7" x14ac:dyDescent="0.2">
      <c r="A243" s="496" t="s">
        <v>2005</v>
      </c>
      <c r="B243" s="496" t="s">
        <v>40</v>
      </c>
      <c r="C243" s="496" t="s">
        <v>448</v>
      </c>
      <c r="D243" s="496" t="s">
        <v>2579</v>
      </c>
      <c r="E243" s="496" t="s">
        <v>1609</v>
      </c>
      <c r="F243" s="505">
        <f>'MCS Budget - Detailed'!N287</f>
        <v>11913</v>
      </c>
      <c r="G243" s="497" t="s">
        <v>448</v>
      </c>
    </row>
    <row r="244" spans="1:7" x14ac:dyDescent="0.2">
      <c r="A244" s="496" t="s">
        <v>2005</v>
      </c>
      <c r="B244" s="496" t="s">
        <v>40</v>
      </c>
      <c r="C244" s="496" t="s">
        <v>448</v>
      </c>
      <c r="D244" s="496" t="s">
        <v>1715</v>
      </c>
      <c r="E244" s="496" t="s">
        <v>1609</v>
      </c>
      <c r="F244" s="505">
        <f>'MCS Budget - Detailed'!N288</f>
        <v>450</v>
      </c>
      <c r="G244" s="497" t="s">
        <v>448</v>
      </c>
    </row>
    <row r="245" spans="1:7" x14ac:dyDescent="0.2">
      <c r="A245" s="494" t="s">
        <v>2005</v>
      </c>
      <c r="B245" s="496" t="s">
        <v>40</v>
      </c>
      <c r="C245" s="496" t="s">
        <v>448</v>
      </c>
      <c r="D245" s="496" t="s">
        <v>2580</v>
      </c>
      <c r="E245" s="496" t="s">
        <v>1609</v>
      </c>
      <c r="F245" s="505">
        <f>'MCS Budget - Detailed'!N289</f>
        <v>450</v>
      </c>
      <c r="G245" s="497" t="s">
        <v>448</v>
      </c>
    </row>
    <row r="246" spans="1:7" x14ac:dyDescent="0.2">
      <c r="A246" s="494" t="s">
        <v>2005</v>
      </c>
      <c r="B246" s="496" t="s">
        <v>40</v>
      </c>
      <c r="C246" s="496" t="s">
        <v>448</v>
      </c>
      <c r="D246" s="496" t="s">
        <v>1716</v>
      </c>
      <c r="E246" s="496" t="s">
        <v>1609</v>
      </c>
      <c r="F246" s="505">
        <f>'MCS Budget - Detailed'!N290</f>
        <v>33</v>
      </c>
      <c r="G246" s="497" t="s">
        <v>448</v>
      </c>
    </row>
    <row r="247" spans="1:7" x14ac:dyDescent="0.2">
      <c r="A247" s="496" t="s">
        <v>2005</v>
      </c>
      <c r="B247" s="496" t="s">
        <v>40</v>
      </c>
      <c r="C247" s="496" t="s">
        <v>448</v>
      </c>
      <c r="D247" s="496" t="s">
        <v>2581</v>
      </c>
      <c r="E247" s="496" t="s">
        <v>1609</v>
      </c>
      <c r="F247" s="505">
        <f>'MCS Budget - Detailed'!N291</f>
        <v>33</v>
      </c>
      <c r="G247" s="497" t="s">
        <v>448</v>
      </c>
    </row>
    <row r="248" spans="1:7" x14ac:dyDescent="0.2">
      <c r="A248" s="496" t="s">
        <v>2005</v>
      </c>
      <c r="B248" s="496" t="s">
        <v>40</v>
      </c>
      <c r="C248" s="496" t="s">
        <v>448</v>
      </c>
      <c r="D248" s="496" t="s">
        <v>1717</v>
      </c>
      <c r="E248" s="496" t="s">
        <v>1609</v>
      </c>
      <c r="F248" s="505">
        <f>'MCS Budget - Detailed'!N292</f>
        <v>62</v>
      </c>
      <c r="G248" s="497" t="s">
        <v>448</v>
      </c>
    </row>
    <row r="249" spans="1:7" x14ac:dyDescent="0.2">
      <c r="A249" s="494" t="s">
        <v>2005</v>
      </c>
      <c r="B249" s="496" t="s">
        <v>40</v>
      </c>
      <c r="C249" s="496" t="s">
        <v>448</v>
      </c>
      <c r="D249" s="496" t="s">
        <v>2582</v>
      </c>
      <c r="E249" s="496" t="s">
        <v>1609</v>
      </c>
      <c r="F249" s="505">
        <f>'MCS Budget - Detailed'!N293</f>
        <v>38</v>
      </c>
      <c r="G249" s="497" t="s">
        <v>448</v>
      </c>
    </row>
    <row r="250" spans="1:7" x14ac:dyDescent="0.2">
      <c r="A250" s="494" t="s">
        <v>2005</v>
      </c>
      <c r="B250" s="496" t="s">
        <v>40</v>
      </c>
      <c r="C250" s="496" t="s">
        <v>448</v>
      </c>
      <c r="D250" s="496" t="s">
        <v>1718</v>
      </c>
      <c r="E250" s="496" t="s">
        <v>1609</v>
      </c>
      <c r="F250" s="505">
        <f>'MCS Budget - Detailed'!N294</f>
        <v>300</v>
      </c>
      <c r="G250" s="497" t="s">
        <v>448</v>
      </c>
    </row>
    <row r="251" spans="1:7" x14ac:dyDescent="0.2">
      <c r="A251" s="496" t="s">
        <v>2005</v>
      </c>
      <c r="B251" s="496" t="s">
        <v>40</v>
      </c>
      <c r="C251" s="496" t="s">
        <v>448</v>
      </c>
      <c r="D251" s="496" t="s">
        <v>2583</v>
      </c>
      <c r="E251" s="496" t="s">
        <v>1609</v>
      </c>
      <c r="F251" s="505">
        <f>'MCS Budget - Detailed'!N295</f>
        <v>180</v>
      </c>
      <c r="G251" s="497" t="s">
        <v>448</v>
      </c>
    </row>
    <row r="252" spans="1:7" x14ac:dyDescent="0.2">
      <c r="A252" s="496" t="s">
        <v>2005</v>
      </c>
      <c r="B252" s="496" t="s">
        <v>40</v>
      </c>
      <c r="C252" s="496" t="s">
        <v>448</v>
      </c>
      <c r="D252" s="496" t="s">
        <v>1719</v>
      </c>
      <c r="E252" s="496" t="s">
        <v>1609</v>
      </c>
      <c r="F252" s="505">
        <f>'MCS Budget - Detailed'!N296</f>
        <v>4209</v>
      </c>
      <c r="G252" s="497" t="s">
        <v>448</v>
      </c>
    </row>
    <row r="253" spans="1:7" x14ac:dyDescent="0.2">
      <c r="A253" s="494" t="s">
        <v>2005</v>
      </c>
      <c r="B253" s="496" t="s">
        <v>40</v>
      </c>
      <c r="C253" s="496" t="s">
        <v>448</v>
      </c>
      <c r="D253" s="496" t="s">
        <v>2584</v>
      </c>
      <c r="E253" s="496" t="s">
        <v>1609</v>
      </c>
      <c r="F253" s="505">
        <f>'MCS Budget - Detailed'!N297</f>
        <v>2523</v>
      </c>
      <c r="G253" s="497" t="s">
        <v>448</v>
      </c>
    </row>
    <row r="254" spans="1:7" x14ac:dyDescent="0.2">
      <c r="A254" s="494" t="s">
        <v>2005</v>
      </c>
      <c r="B254" s="496" t="s">
        <v>40</v>
      </c>
      <c r="C254" s="496" t="s">
        <v>448</v>
      </c>
      <c r="D254" s="496" t="s">
        <v>1720</v>
      </c>
      <c r="E254" s="496" t="s">
        <v>1609</v>
      </c>
      <c r="F254" s="505">
        <f>'MCS Budget - Detailed'!N298</f>
        <v>3087</v>
      </c>
      <c r="G254" s="497" t="s">
        <v>448</v>
      </c>
    </row>
    <row r="255" spans="1:7" x14ac:dyDescent="0.2">
      <c r="A255" s="496" t="s">
        <v>2005</v>
      </c>
      <c r="B255" s="496" t="s">
        <v>40</v>
      </c>
      <c r="C255" s="496" t="s">
        <v>448</v>
      </c>
      <c r="D255" s="496" t="s">
        <v>2587</v>
      </c>
      <c r="E255" s="496" t="s">
        <v>1609</v>
      </c>
      <c r="F255" s="505">
        <f>'MCS Budget - Detailed'!N299</f>
        <v>3087</v>
      </c>
      <c r="G255" s="497" t="s">
        <v>448</v>
      </c>
    </row>
    <row r="256" spans="1:7" x14ac:dyDescent="0.2">
      <c r="A256" s="496" t="s">
        <v>2005</v>
      </c>
      <c r="B256" s="496" t="s">
        <v>40</v>
      </c>
      <c r="C256" s="496" t="s">
        <v>448</v>
      </c>
      <c r="D256" s="496" t="s">
        <v>2586</v>
      </c>
      <c r="E256" s="496" t="s">
        <v>1609</v>
      </c>
      <c r="F256" s="505">
        <f>'MCS Budget - Detailed'!N300</f>
        <v>619</v>
      </c>
      <c r="G256" s="497" t="s">
        <v>448</v>
      </c>
    </row>
    <row r="257" spans="1:7" x14ac:dyDescent="0.2">
      <c r="A257" s="496" t="s">
        <v>2005</v>
      </c>
      <c r="B257" s="496" t="s">
        <v>40</v>
      </c>
      <c r="C257" s="496" t="s">
        <v>448</v>
      </c>
      <c r="D257" s="496" t="s">
        <v>2585</v>
      </c>
      <c r="E257" s="496" t="s">
        <v>1609</v>
      </c>
      <c r="F257" s="505">
        <f>'MCS Budget - Detailed'!N301</f>
        <v>371</v>
      </c>
      <c r="G257" s="497" t="s">
        <v>448</v>
      </c>
    </row>
    <row r="258" spans="1:7" x14ac:dyDescent="0.2">
      <c r="A258" s="496" t="s">
        <v>2005</v>
      </c>
      <c r="B258" s="496" t="s">
        <v>40</v>
      </c>
      <c r="C258" s="496" t="s">
        <v>448</v>
      </c>
      <c r="D258" s="496" t="s">
        <v>1721</v>
      </c>
      <c r="E258" s="496" t="s">
        <v>1609</v>
      </c>
      <c r="F258" s="505">
        <f>'MCS Budget - Detailed'!N302</f>
        <v>300</v>
      </c>
      <c r="G258" s="497" t="s">
        <v>448</v>
      </c>
    </row>
    <row r="259" spans="1:7" x14ac:dyDescent="0.2">
      <c r="A259" s="496" t="s">
        <v>2005</v>
      </c>
      <c r="B259" s="496" t="s">
        <v>40</v>
      </c>
      <c r="C259" s="496" t="s">
        <v>448</v>
      </c>
      <c r="D259" s="496" t="s">
        <v>1722</v>
      </c>
      <c r="E259" s="496" t="s">
        <v>1609</v>
      </c>
      <c r="F259" s="505">
        <f>'MCS Budget - Detailed'!N304</f>
        <v>16772</v>
      </c>
      <c r="G259" s="497" t="s">
        <v>448</v>
      </c>
    </row>
    <row r="260" spans="1:7" x14ac:dyDescent="0.2">
      <c r="A260" s="494" t="s">
        <v>2005</v>
      </c>
      <c r="B260" s="496" t="s">
        <v>40</v>
      </c>
      <c r="C260" s="496" t="s">
        <v>448</v>
      </c>
      <c r="D260" s="496" t="s">
        <v>1723</v>
      </c>
      <c r="E260" s="496" t="s">
        <v>1609</v>
      </c>
      <c r="F260" s="505">
        <f>'MCS Budget - Detailed'!N305</f>
        <v>450</v>
      </c>
      <c r="G260" s="497" t="s">
        <v>448</v>
      </c>
    </row>
    <row r="261" spans="1:7" x14ac:dyDescent="0.2">
      <c r="A261" s="496" t="s">
        <v>2005</v>
      </c>
      <c r="B261" s="496" t="s">
        <v>40</v>
      </c>
      <c r="C261" s="496" t="s">
        <v>448</v>
      </c>
      <c r="D261" s="496" t="s">
        <v>1724</v>
      </c>
      <c r="E261" s="496" t="s">
        <v>1609</v>
      </c>
      <c r="F261" s="505">
        <f>'MCS Budget - Detailed'!N306</f>
        <v>33</v>
      </c>
      <c r="G261" s="497" t="s">
        <v>448</v>
      </c>
    </row>
    <row r="262" spans="1:7" x14ac:dyDescent="0.2">
      <c r="A262" s="494" t="s">
        <v>2005</v>
      </c>
      <c r="B262" s="496" t="s">
        <v>40</v>
      </c>
      <c r="C262" s="496" t="s">
        <v>448</v>
      </c>
      <c r="D262" s="496" t="s">
        <v>1725</v>
      </c>
      <c r="E262" s="496" t="s">
        <v>1609</v>
      </c>
      <c r="F262" s="505">
        <f>'MCS Budget - Detailed'!N307</f>
        <v>52</v>
      </c>
      <c r="G262" s="497" t="s">
        <v>448</v>
      </c>
    </row>
    <row r="263" spans="1:7" x14ac:dyDescent="0.2">
      <c r="A263" s="496" t="s">
        <v>2005</v>
      </c>
      <c r="B263" s="496" t="s">
        <v>40</v>
      </c>
      <c r="C263" s="496" t="s">
        <v>448</v>
      </c>
      <c r="D263" s="496" t="s">
        <v>1726</v>
      </c>
      <c r="E263" s="496" t="s">
        <v>1609</v>
      </c>
      <c r="F263" s="505">
        <f>'MCS Budget - Detailed'!N308</f>
        <v>250</v>
      </c>
      <c r="G263" s="497" t="s">
        <v>448</v>
      </c>
    </row>
    <row r="264" spans="1:7" x14ac:dyDescent="0.2">
      <c r="A264" s="494" t="s">
        <v>2005</v>
      </c>
      <c r="B264" s="496" t="s">
        <v>40</v>
      </c>
      <c r="C264" s="496" t="s">
        <v>448</v>
      </c>
      <c r="D264" s="496" t="s">
        <v>1727</v>
      </c>
      <c r="E264" s="496" t="s">
        <v>1609</v>
      </c>
      <c r="F264" s="505">
        <f>'MCS Budget - Detailed'!N309</f>
        <v>3514</v>
      </c>
      <c r="G264" s="497" t="s">
        <v>448</v>
      </c>
    </row>
    <row r="265" spans="1:7" x14ac:dyDescent="0.2">
      <c r="A265" s="496" t="s">
        <v>2005</v>
      </c>
      <c r="B265" s="496" t="s">
        <v>40</v>
      </c>
      <c r="C265" s="496" t="s">
        <v>448</v>
      </c>
      <c r="D265" s="496" t="s">
        <v>1728</v>
      </c>
      <c r="E265" s="496" t="s">
        <v>1609</v>
      </c>
      <c r="F265" s="505">
        <f>'MCS Budget - Detailed'!N310</f>
        <v>3066</v>
      </c>
      <c r="G265" s="497" t="s">
        <v>448</v>
      </c>
    </row>
    <row r="266" spans="1:7" x14ac:dyDescent="0.2">
      <c r="A266" s="494" t="s">
        <v>2005</v>
      </c>
      <c r="B266" s="496" t="s">
        <v>40</v>
      </c>
      <c r="C266" s="496" t="s">
        <v>448</v>
      </c>
      <c r="D266" s="496" t="s">
        <v>2695</v>
      </c>
      <c r="E266" s="496" t="s">
        <v>1609</v>
      </c>
      <c r="F266" s="505">
        <f>'MCS Budget - Detailed'!N311</f>
        <v>517</v>
      </c>
      <c r="G266" s="497" t="s">
        <v>448</v>
      </c>
    </row>
    <row r="267" spans="1:7" x14ac:dyDescent="0.2">
      <c r="A267" s="494" t="s">
        <v>2005</v>
      </c>
      <c r="B267" s="496" t="s">
        <v>40</v>
      </c>
      <c r="C267" s="496" t="s">
        <v>448</v>
      </c>
      <c r="D267" s="496" t="s">
        <v>1729</v>
      </c>
      <c r="E267" s="496" t="s">
        <v>1609</v>
      </c>
      <c r="F267" s="505">
        <f>'MCS Budget - Detailed'!N312</f>
        <v>1500</v>
      </c>
      <c r="G267" s="497" t="s">
        <v>448</v>
      </c>
    </row>
    <row r="268" spans="1:7" x14ac:dyDescent="0.2">
      <c r="A268" s="496" t="s">
        <v>2005</v>
      </c>
      <c r="B268" s="496" t="s">
        <v>40</v>
      </c>
      <c r="C268" s="496" t="s">
        <v>448</v>
      </c>
      <c r="D268" s="496" t="s">
        <v>1730</v>
      </c>
      <c r="E268" s="496" t="s">
        <v>1609</v>
      </c>
      <c r="F268" s="505">
        <f>'MCS Budget - Detailed'!N315</f>
        <v>23494</v>
      </c>
      <c r="G268" s="497" t="s">
        <v>448</v>
      </c>
    </row>
    <row r="269" spans="1:7" x14ac:dyDescent="0.2">
      <c r="A269" s="494" t="s">
        <v>2005</v>
      </c>
      <c r="B269" s="496" t="s">
        <v>40</v>
      </c>
      <c r="C269" s="496" t="s">
        <v>448</v>
      </c>
      <c r="D269" s="496" t="s">
        <v>1731</v>
      </c>
      <c r="E269" s="496" t="s">
        <v>1609</v>
      </c>
      <c r="F269" s="505">
        <f>'MCS Budget - Detailed'!N316</f>
        <v>600</v>
      </c>
      <c r="G269" s="497" t="s">
        <v>448</v>
      </c>
    </row>
    <row r="270" spans="1:7" x14ac:dyDescent="0.2">
      <c r="A270" s="496" t="s">
        <v>2005</v>
      </c>
      <c r="B270" s="496" t="s">
        <v>40</v>
      </c>
      <c r="C270" s="496" t="s">
        <v>448</v>
      </c>
      <c r="D270" s="496" t="s">
        <v>1732</v>
      </c>
      <c r="E270" s="496" t="s">
        <v>1609</v>
      </c>
      <c r="F270" s="505">
        <f>'MCS Budget - Detailed'!N317</f>
        <v>44</v>
      </c>
      <c r="G270" s="497" t="s">
        <v>448</v>
      </c>
    </row>
    <row r="271" spans="1:7" x14ac:dyDescent="0.2">
      <c r="A271" s="494" t="s">
        <v>2005</v>
      </c>
      <c r="B271" s="496" t="s">
        <v>40</v>
      </c>
      <c r="C271" s="496" t="s">
        <v>448</v>
      </c>
      <c r="D271" s="496" t="s">
        <v>1733</v>
      </c>
      <c r="E271" s="496" t="s">
        <v>1609</v>
      </c>
      <c r="F271" s="505">
        <f>'MCS Budget - Detailed'!N318</f>
        <v>73</v>
      </c>
      <c r="G271" s="497" t="s">
        <v>448</v>
      </c>
    </row>
    <row r="272" spans="1:7" x14ac:dyDescent="0.2">
      <c r="A272" s="496" t="s">
        <v>2005</v>
      </c>
      <c r="B272" s="496" t="s">
        <v>40</v>
      </c>
      <c r="C272" s="496" t="s">
        <v>448</v>
      </c>
      <c r="D272" s="496" t="s">
        <v>1734</v>
      </c>
      <c r="E272" s="496" t="s">
        <v>1609</v>
      </c>
      <c r="F272" s="505">
        <f>'MCS Budget - Detailed'!N319</f>
        <v>350</v>
      </c>
      <c r="G272" s="497" t="s">
        <v>448</v>
      </c>
    </row>
    <row r="273" spans="1:7" ht="12" customHeight="1" x14ac:dyDescent="0.2">
      <c r="A273" s="494" t="s">
        <v>2005</v>
      </c>
      <c r="B273" s="496" t="s">
        <v>40</v>
      </c>
      <c r="C273" s="496" t="s">
        <v>448</v>
      </c>
      <c r="D273" s="496" t="s">
        <v>1735</v>
      </c>
      <c r="E273" s="496" t="s">
        <v>1609</v>
      </c>
      <c r="F273" s="505">
        <f>'MCS Budget - Detailed'!N320</f>
        <v>4916</v>
      </c>
      <c r="G273" s="497" t="s">
        <v>448</v>
      </c>
    </row>
    <row r="274" spans="1:7" x14ac:dyDescent="0.2">
      <c r="A274" s="496" t="s">
        <v>2005</v>
      </c>
      <c r="B274" s="496" t="s">
        <v>40</v>
      </c>
      <c r="C274" s="496" t="s">
        <v>448</v>
      </c>
      <c r="D274" s="496" t="s">
        <v>1736</v>
      </c>
      <c r="E274" s="496" t="s">
        <v>1609</v>
      </c>
      <c r="F274" s="505">
        <f>'MCS Budget - Detailed'!N321</f>
        <v>4113</v>
      </c>
      <c r="G274" s="497" t="s">
        <v>448</v>
      </c>
    </row>
    <row r="275" spans="1:7" x14ac:dyDescent="0.2">
      <c r="A275" s="496" t="s">
        <v>2005</v>
      </c>
      <c r="B275" s="496" t="s">
        <v>40</v>
      </c>
      <c r="C275" s="496" t="s">
        <v>448</v>
      </c>
      <c r="D275" s="496" t="s">
        <v>2588</v>
      </c>
      <c r="E275" s="496" t="s">
        <v>1609</v>
      </c>
      <c r="F275" s="505">
        <f>'MCS Budget - Detailed'!N322</f>
        <v>723</v>
      </c>
      <c r="G275" s="497" t="s">
        <v>448</v>
      </c>
    </row>
    <row r="276" spans="1:7" x14ac:dyDescent="0.2">
      <c r="A276" s="496" t="s">
        <v>2005</v>
      </c>
      <c r="B276" s="496" t="s">
        <v>40</v>
      </c>
      <c r="C276" s="496" t="s">
        <v>448</v>
      </c>
      <c r="D276" s="496" t="s">
        <v>2266</v>
      </c>
      <c r="E276" s="496" t="s">
        <v>1609</v>
      </c>
      <c r="F276" s="505">
        <f>'MCS Budget - Detailed'!N323</f>
        <v>300</v>
      </c>
      <c r="G276" s="497" t="s">
        <v>448</v>
      </c>
    </row>
    <row r="277" spans="1:7" x14ac:dyDescent="0.2">
      <c r="A277" s="494" t="s">
        <v>2005</v>
      </c>
      <c r="B277" s="496" t="s">
        <v>40</v>
      </c>
      <c r="C277" s="496" t="s">
        <v>448</v>
      </c>
      <c r="D277" s="496" t="s">
        <v>1737</v>
      </c>
      <c r="E277" s="496" t="s">
        <v>1609</v>
      </c>
      <c r="F277" s="505">
        <f>'MCS Budget - Detailed'!N325</f>
        <v>20000</v>
      </c>
      <c r="G277" s="497" t="s">
        <v>448</v>
      </c>
    </row>
    <row r="278" spans="1:7" x14ac:dyDescent="0.2">
      <c r="A278" s="496" t="s">
        <v>2005</v>
      </c>
      <c r="B278" s="496" t="s">
        <v>40</v>
      </c>
      <c r="C278" s="496" t="s">
        <v>448</v>
      </c>
      <c r="D278" s="496" t="s">
        <v>1738</v>
      </c>
      <c r="E278" s="496" t="s">
        <v>1609</v>
      </c>
      <c r="F278" s="505">
        <f>'MCS Budget - Detailed'!N326</f>
        <v>60</v>
      </c>
      <c r="G278" s="497" t="s">
        <v>448</v>
      </c>
    </row>
    <row r="279" spans="1:7" x14ac:dyDescent="0.2">
      <c r="A279" s="494" t="s">
        <v>2005</v>
      </c>
      <c r="B279" s="496" t="s">
        <v>40</v>
      </c>
      <c r="C279" s="496" t="s">
        <v>448</v>
      </c>
      <c r="D279" s="496" t="s">
        <v>1739</v>
      </c>
      <c r="E279" s="496" t="s">
        <v>1609</v>
      </c>
      <c r="F279" s="505">
        <f>'MCS Budget - Detailed'!N327</f>
        <v>290</v>
      </c>
      <c r="G279" s="497" t="s">
        <v>448</v>
      </c>
    </row>
    <row r="280" spans="1:7" x14ac:dyDescent="0.2">
      <c r="A280" s="496" t="s">
        <v>2005</v>
      </c>
      <c r="B280" s="496" t="s">
        <v>40</v>
      </c>
      <c r="C280" s="496" t="s">
        <v>448</v>
      </c>
      <c r="D280" s="496" t="s">
        <v>1740</v>
      </c>
      <c r="E280" s="496" t="s">
        <v>1609</v>
      </c>
      <c r="F280" s="505">
        <f>'MCS Budget - Detailed'!N328</f>
        <v>4030</v>
      </c>
      <c r="G280" s="497" t="s">
        <v>448</v>
      </c>
    </row>
    <row r="281" spans="1:7" x14ac:dyDescent="0.2">
      <c r="A281" s="494" t="s">
        <v>2005</v>
      </c>
      <c r="B281" s="496" t="s">
        <v>40</v>
      </c>
      <c r="C281" s="496" t="s">
        <v>448</v>
      </c>
      <c r="D281" s="496" t="s">
        <v>1741</v>
      </c>
      <c r="E281" s="496" t="s">
        <v>1609</v>
      </c>
      <c r="F281" s="505">
        <f>'MCS Budget - Detailed'!N330</f>
        <v>4500</v>
      </c>
      <c r="G281" s="497" t="s">
        <v>448</v>
      </c>
    </row>
    <row r="282" spans="1:7" x14ac:dyDescent="0.2">
      <c r="A282" s="496" t="s">
        <v>2005</v>
      </c>
      <c r="B282" s="496" t="s">
        <v>40</v>
      </c>
      <c r="C282" s="496" t="s">
        <v>448</v>
      </c>
      <c r="D282" s="496" t="s">
        <v>1742</v>
      </c>
      <c r="E282" s="496" t="s">
        <v>1609</v>
      </c>
      <c r="F282" s="505">
        <f>'MCS Budget - Detailed'!N331</f>
        <v>1800</v>
      </c>
      <c r="G282" s="497" t="s">
        <v>448</v>
      </c>
    </row>
    <row r="283" spans="1:7" x14ac:dyDescent="0.2">
      <c r="A283" s="494" t="s">
        <v>2005</v>
      </c>
      <c r="B283" s="496" t="s">
        <v>40</v>
      </c>
      <c r="C283" s="496" t="s">
        <v>448</v>
      </c>
      <c r="D283" s="496" t="s">
        <v>1743</v>
      </c>
      <c r="E283" s="496" t="s">
        <v>1609</v>
      </c>
      <c r="F283" s="505">
        <f>'MCS Budget - Detailed'!N332</f>
        <v>1000</v>
      </c>
      <c r="G283" s="497" t="s">
        <v>448</v>
      </c>
    </row>
    <row r="284" spans="1:7" x14ac:dyDescent="0.2">
      <c r="A284" s="496" t="s">
        <v>2005</v>
      </c>
      <c r="B284" s="496" t="s">
        <v>40</v>
      </c>
      <c r="C284" s="496" t="s">
        <v>448</v>
      </c>
      <c r="D284" s="496" t="s">
        <v>1744</v>
      </c>
      <c r="E284" s="496" t="s">
        <v>1609</v>
      </c>
      <c r="F284" s="505">
        <f>'MCS Budget - Detailed'!N334</f>
        <v>500</v>
      </c>
      <c r="G284" s="497" t="s">
        <v>448</v>
      </c>
    </row>
    <row r="285" spans="1:7" x14ac:dyDescent="0.2">
      <c r="A285" s="494" t="s">
        <v>2005</v>
      </c>
      <c r="B285" s="496" t="s">
        <v>40</v>
      </c>
      <c r="C285" s="496" t="s">
        <v>448</v>
      </c>
      <c r="D285" s="496" t="s">
        <v>1745</v>
      </c>
      <c r="E285" s="496" t="s">
        <v>1609</v>
      </c>
      <c r="F285" s="505">
        <f>'MCS Budget - Detailed'!N335</f>
        <v>7000</v>
      </c>
      <c r="G285" s="497" t="s">
        <v>448</v>
      </c>
    </row>
    <row r="286" spans="1:7" x14ac:dyDescent="0.2">
      <c r="A286" s="496" t="s">
        <v>2005</v>
      </c>
      <c r="B286" s="496" t="s">
        <v>40</v>
      </c>
      <c r="C286" s="496" t="s">
        <v>448</v>
      </c>
      <c r="D286" s="496" t="s">
        <v>1746</v>
      </c>
      <c r="E286" s="496" t="s">
        <v>1609</v>
      </c>
      <c r="F286" s="505">
        <f>'MCS Budget - Detailed'!N338</f>
        <v>5000</v>
      </c>
      <c r="G286" s="497" t="s">
        <v>448</v>
      </c>
    </row>
    <row r="287" spans="1:7" x14ac:dyDescent="0.2">
      <c r="A287" s="494" t="s">
        <v>2005</v>
      </c>
      <c r="B287" s="496" t="s">
        <v>40</v>
      </c>
      <c r="C287" s="496" t="s">
        <v>448</v>
      </c>
      <c r="D287" s="496" t="s">
        <v>1747</v>
      </c>
      <c r="E287" s="496" t="s">
        <v>1609</v>
      </c>
      <c r="F287" s="505">
        <f>'MCS Budget - Detailed'!N340</f>
        <v>200</v>
      </c>
      <c r="G287" s="497" t="s">
        <v>448</v>
      </c>
    </row>
    <row r="288" spans="1:7" x14ac:dyDescent="0.2">
      <c r="A288" s="494" t="s">
        <v>2005</v>
      </c>
      <c r="B288" s="496" t="s">
        <v>40</v>
      </c>
      <c r="C288" s="496" t="s">
        <v>448</v>
      </c>
      <c r="D288" s="496" t="s">
        <v>1748</v>
      </c>
      <c r="E288" s="496" t="s">
        <v>1609</v>
      </c>
      <c r="F288" s="505">
        <f>'MCS Budget - Detailed'!N342</f>
        <v>74079</v>
      </c>
      <c r="G288" s="497" t="s">
        <v>448</v>
      </c>
    </row>
    <row r="289" spans="1:7" x14ac:dyDescent="0.2">
      <c r="A289" s="496" t="s">
        <v>2005</v>
      </c>
      <c r="B289" s="496" t="s">
        <v>40</v>
      </c>
      <c r="C289" s="496" t="s">
        <v>448</v>
      </c>
      <c r="D289" s="496" t="s">
        <v>1749</v>
      </c>
      <c r="E289" s="496" t="s">
        <v>1609</v>
      </c>
      <c r="F289" s="505">
        <f>'MCS Budget - Detailed'!N343</f>
        <v>6000</v>
      </c>
      <c r="G289" s="497" t="s">
        <v>448</v>
      </c>
    </row>
    <row r="290" spans="1:7" x14ac:dyDescent="0.2">
      <c r="A290" s="496" t="s">
        <v>2005</v>
      </c>
      <c r="B290" s="496" t="s">
        <v>40</v>
      </c>
      <c r="C290" s="496" t="s">
        <v>448</v>
      </c>
      <c r="D290" s="496" t="s">
        <v>2589</v>
      </c>
      <c r="E290" s="496" t="s">
        <v>1609</v>
      </c>
      <c r="F290" s="505">
        <f>'MCS Budget - Detailed'!N344</f>
        <v>1400</v>
      </c>
      <c r="G290" s="497" t="s">
        <v>1756</v>
      </c>
    </row>
    <row r="291" spans="1:7" x14ac:dyDescent="0.2">
      <c r="A291" s="496" t="s">
        <v>2005</v>
      </c>
      <c r="B291" s="496" t="s">
        <v>40</v>
      </c>
      <c r="C291" s="496" t="s">
        <v>448</v>
      </c>
      <c r="D291" s="496" t="s">
        <v>2063</v>
      </c>
      <c r="E291" s="496" t="s">
        <v>1609</v>
      </c>
      <c r="F291" s="505">
        <f>'MCS Budget - Detailed'!N345</f>
        <v>16561</v>
      </c>
      <c r="G291" s="497" t="s">
        <v>448</v>
      </c>
    </row>
    <row r="292" spans="1:7" x14ac:dyDescent="0.2">
      <c r="A292" s="494" t="s">
        <v>2005</v>
      </c>
      <c r="B292" s="496" t="s">
        <v>40</v>
      </c>
      <c r="C292" s="496" t="s">
        <v>448</v>
      </c>
      <c r="D292" s="496" t="s">
        <v>1750</v>
      </c>
      <c r="E292" s="496" t="s">
        <v>1609</v>
      </c>
      <c r="F292" s="505">
        <f>'MCS Budget - Detailed'!N347</f>
        <v>66</v>
      </c>
      <c r="G292" s="497" t="s">
        <v>448</v>
      </c>
    </row>
    <row r="293" spans="1:7" x14ac:dyDescent="0.2">
      <c r="A293" s="496" t="s">
        <v>2005</v>
      </c>
      <c r="B293" s="496" t="s">
        <v>40</v>
      </c>
      <c r="C293" s="496" t="s">
        <v>448</v>
      </c>
      <c r="D293" s="496" t="s">
        <v>1751</v>
      </c>
      <c r="E293" s="496" t="s">
        <v>1609</v>
      </c>
      <c r="F293" s="505">
        <f>'MCS Budget - Detailed'!N348</f>
        <v>243</v>
      </c>
      <c r="G293" s="497" t="s">
        <v>448</v>
      </c>
    </row>
    <row r="294" spans="1:7" x14ac:dyDescent="0.2">
      <c r="A294" s="494" t="s">
        <v>2005</v>
      </c>
      <c r="B294" s="496" t="s">
        <v>40</v>
      </c>
      <c r="C294" s="496" t="s">
        <v>448</v>
      </c>
      <c r="D294" s="496" t="s">
        <v>1752</v>
      </c>
      <c r="E294" s="496" t="s">
        <v>1609</v>
      </c>
      <c r="F294" s="505">
        <f>'MCS Budget - Detailed'!N349</f>
        <v>700</v>
      </c>
      <c r="G294" s="497" t="s">
        <v>448</v>
      </c>
    </row>
    <row r="295" spans="1:7" x14ac:dyDescent="0.2">
      <c r="A295" s="496" t="s">
        <v>2005</v>
      </c>
      <c r="B295" s="496" t="s">
        <v>40</v>
      </c>
      <c r="C295" s="496" t="s">
        <v>448</v>
      </c>
      <c r="D295" s="496" t="s">
        <v>1753</v>
      </c>
      <c r="E295" s="496" t="s">
        <v>1609</v>
      </c>
      <c r="F295" s="505">
        <f>'MCS Budget - Detailed'!N350</f>
        <v>128</v>
      </c>
      <c r="G295" s="497" t="s">
        <v>448</v>
      </c>
    </row>
    <row r="296" spans="1:7" x14ac:dyDescent="0.2">
      <c r="A296" s="494" t="s">
        <v>2005</v>
      </c>
      <c r="B296" s="496" t="s">
        <v>40</v>
      </c>
      <c r="C296" s="496" t="s">
        <v>448</v>
      </c>
      <c r="D296" s="496" t="s">
        <v>2590</v>
      </c>
      <c r="E296" s="496" t="s">
        <v>1609</v>
      </c>
      <c r="F296" s="505">
        <f>'MCS Budget - Detailed'!N351</f>
        <v>4</v>
      </c>
      <c r="G296" s="497" t="s">
        <v>1756</v>
      </c>
    </row>
    <row r="297" spans="1:7" x14ac:dyDescent="0.2">
      <c r="A297" s="494" t="s">
        <v>2005</v>
      </c>
      <c r="B297" s="496" t="s">
        <v>40</v>
      </c>
      <c r="C297" s="496" t="s">
        <v>448</v>
      </c>
      <c r="D297" s="496" t="s">
        <v>2064</v>
      </c>
      <c r="E297" s="496" t="s">
        <v>1609</v>
      </c>
      <c r="F297" s="505">
        <f>'MCS Budget - Detailed'!N352</f>
        <v>49</v>
      </c>
      <c r="G297" s="497" t="s">
        <v>448</v>
      </c>
    </row>
    <row r="298" spans="1:7" x14ac:dyDescent="0.2">
      <c r="A298" s="496" t="s">
        <v>2005</v>
      </c>
      <c r="B298" s="496" t="s">
        <v>40</v>
      </c>
      <c r="C298" s="496" t="s">
        <v>448</v>
      </c>
      <c r="D298" s="496" t="s">
        <v>1754</v>
      </c>
      <c r="E298" s="496" t="s">
        <v>1609</v>
      </c>
      <c r="F298" s="505">
        <f>'MCS Budget - Detailed'!N354</f>
        <v>18</v>
      </c>
      <c r="G298" s="497" t="s">
        <v>448</v>
      </c>
    </row>
    <row r="299" spans="1:7" x14ac:dyDescent="0.2">
      <c r="A299" s="494" t="s">
        <v>2005</v>
      </c>
      <c r="B299" s="496" t="s">
        <v>40</v>
      </c>
      <c r="C299" s="496" t="s">
        <v>448</v>
      </c>
      <c r="D299" s="496" t="s">
        <v>1755</v>
      </c>
      <c r="E299" s="496" t="s">
        <v>1609</v>
      </c>
      <c r="F299" s="505">
        <f>'MCS Budget - Detailed'!N355</f>
        <v>223</v>
      </c>
      <c r="G299" s="497" t="s">
        <v>448</v>
      </c>
    </row>
    <row r="300" spans="1:7" x14ac:dyDescent="0.2">
      <c r="A300" s="494" t="s">
        <v>2005</v>
      </c>
      <c r="B300" s="496" t="s">
        <v>40</v>
      </c>
      <c r="C300" s="496" t="s">
        <v>448</v>
      </c>
      <c r="D300" s="496" t="s">
        <v>1757</v>
      </c>
      <c r="E300" s="496" t="s">
        <v>1609</v>
      </c>
      <c r="F300" s="505">
        <f>'MCS Budget - Detailed'!N356</f>
        <v>616</v>
      </c>
      <c r="G300" s="497" t="s">
        <v>448</v>
      </c>
    </row>
    <row r="301" spans="1:7" x14ac:dyDescent="0.2">
      <c r="A301" s="496" t="s">
        <v>2005</v>
      </c>
      <c r="B301" s="496" t="s">
        <v>40</v>
      </c>
      <c r="C301" s="496" t="s">
        <v>448</v>
      </c>
      <c r="D301" s="496" t="s">
        <v>2591</v>
      </c>
      <c r="E301" s="496" t="s">
        <v>1609</v>
      </c>
      <c r="F301" s="505">
        <f>'MCS Budget - Detailed'!N357</f>
        <v>20</v>
      </c>
      <c r="G301" s="497" t="s">
        <v>1756</v>
      </c>
    </row>
    <row r="302" spans="1:7" x14ac:dyDescent="0.2">
      <c r="A302" s="496" t="s">
        <v>2005</v>
      </c>
      <c r="B302" s="496" t="s">
        <v>40</v>
      </c>
      <c r="C302" s="496" t="s">
        <v>448</v>
      </c>
      <c r="D302" s="496" t="s">
        <v>2065</v>
      </c>
      <c r="E302" s="496" t="s">
        <v>1609</v>
      </c>
      <c r="F302" s="505">
        <f>'MCS Budget - Detailed'!N358</f>
        <v>239</v>
      </c>
      <c r="G302" s="497" t="s">
        <v>448</v>
      </c>
    </row>
    <row r="303" spans="1:7" x14ac:dyDescent="0.2">
      <c r="A303" s="494" t="s">
        <v>2005</v>
      </c>
      <c r="B303" s="496" t="s">
        <v>40</v>
      </c>
      <c r="C303" s="496" t="s">
        <v>448</v>
      </c>
      <c r="D303" s="496" t="s">
        <v>1758</v>
      </c>
      <c r="E303" s="496" t="s">
        <v>1609</v>
      </c>
      <c r="F303" s="505">
        <f>'MCS Budget - Detailed'!N360</f>
        <v>87</v>
      </c>
      <c r="G303" s="497" t="s">
        <v>448</v>
      </c>
    </row>
    <row r="304" spans="1:7" x14ac:dyDescent="0.2">
      <c r="A304" s="496" t="s">
        <v>2005</v>
      </c>
      <c r="B304" s="496" t="s">
        <v>40</v>
      </c>
      <c r="C304" s="496" t="s">
        <v>448</v>
      </c>
      <c r="D304" s="496" t="s">
        <v>1759</v>
      </c>
      <c r="E304" s="496" t="s">
        <v>1609</v>
      </c>
      <c r="F304" s="505">
        <f>'MCS Budget - Detailed'!N361</f>
        <v>1075</v>
      </c>
      <c r="G304" s="497" t="s">
        <v>448</v>
      </c>
    </row>
    <row r="305" spans="1:7" x14ac:dyDescent="0.2">
      <c r="A305" s="494" t="s">
        <v>2005</v>
      </c>
      <c r="B305" s="496" t="s">
        <v>40</v>
      </c>
      <c r="C305" s="496" t="s">
        <v>448</v>
      </c>
      <c r="D305" s="496" t="s">
        <v>1760</v>
      </c>
      <c r="E305" s="496" t="s">
        <v>1609</v>
      </c>
      <c r="F305" s="505">
        <f>'MCS Budget - Detailed'!N363</f>
        <v>5479</v>
      </c>
      <c r="G305" s="497" t="s">
        <v>448</v>
      </c>
    </row>
    <row r="306" spans="1:7" x14ac:dyDescent="0.2">
      <c r="A306" s="496" t="s">
        <v>2005</v>
      </c>
      <c r="B306" s="496" t="s">
        <v>40</v>
      </c>
      <c r="C306" s="496" t="s">
        <v>448</v>
      </c>
      <c r="D306" s="496" t="s">
        <v>2593</v>
      </c>
      <c r="E306" s="496" t="s">
        <v>1609</v>
      </c>
      <c r="F306" s="505">
        <f>'MCS Budget - Detailed'!N364</f>
        <v>3184</v>
      </c>
      <c r="G306" s="497" t="s">
        <v>1756</v>
      </c>
    </row>
    <row r="307" spans="1:7" x14ac:dyDescent="0.2">
      <c r="A307" s="496" t="s">
        <v>2005</v>
      </c>
      <c r="B307" s="496" t="s">
        <v>40</v>
      </c>
      <c r="C307" s="496" t="s">
        <v>448</v>
      </c>
      <c r="D307" s="496" t="s">
        <v>2592</v>
      </c>
      <c r="E307" s="496" t="s">
        <v>1609</v>
      </c>
      <c r="F307" s="505">
        <f>'MCS Budget - Detailed'!N365</f>
        <v>286</v>
      </c>
      <c r="G307" s="497" t="s">
        <v>1756</v>
      </c>
    </row>
    <row r="308" spans="1:7" x14ac:dyDescent="0.2">
      <c r="A308" s="496" t="s">
        <v>2005</v>
      </c>
      <c r="B308" s="496" t="s">
        <v>40</v>
      </c>
      <c r="C308" s="496" t="s">
        <v>448</v>
      </c>
      <c r="D308" s="496" t="s">
        <v>2066</v>
      </c>
      <c r="E308" s="496" t="s">
        <v>1609</v>
      </c>
      <c r="F308" s="505">
        <f>'MCS Budget - Detailed'!N366</f>
        <v>3347</v>
      </c>
      <c r="G308" s="497" t="s">
        <v>448</v>
      </c>
    </row>
    <row r="309" spans="1:7" x14ac:dyDescent="0.2">
      <c r="A309" s="494" t="s">
        <v>2005</v>
      </c>
      <c r="B309" s="496" t="s">
        <v>40</v>
      </c>
      <c r="C309" s="496" t="s">
        <v>448</v>
      </c>
      <c r="D309" s="496" t="s">
        <v>1761</v>
      </c>
      <c r="E309" s="496" t="s">
        <v>1609</v>
      </c>
      <c r="F309" s="505">
        <f>'MCS Budget - Detailed'!N368</f>
        <v>1224</v>
      </c>
      <c r="G309" s="497" t="s">
        <v>448</v>
      </c>
    </row>
    <row r="310" spans="1:7" x14ac:dyDescent="0.2">
      <c r="A310" s="496" t="s">
        <v>2005</v>
      </c>
      <c r="B310" s="496" t="s">
        <v>40</v>
      </c>
      <c r="C310" s="496" t="s">
        <v>448</v>
      </c>
      <c r="D310" s="496" t="s">
        <v>1762</v>
      </c>
      <c r="E310" s="496" t="s">
        <v>1609</v>
      </c>
      <c r="F310" s="505">
        <f>'MCS Budget - Detailed'!N369</f>
        <v>15113</v>
      </c>
      <c r="G310" s="497" t="s">
        <v>448</v>
      </c>
    </row>
    <row r="311" spans="1:7" x14ac:dyDescent="0.2">
      <c r="A311" s="494" t="s">
        <v>2005</v>
      </c>
      <c r="B311" s="496" t="s">
        <v>40</v>
      </c>
      <c r="C311" s="496" t="s">
        <v>448</v>
      </c>
      <c r="D311" s="496" t="s">
        <v>1763</v>
      </c>
      <c r="E311" s="496" t="s">
        <v>1609</v>
      </c>
      <c r="F311" s="505">
        <f>'MCS Budget - Detailed'!N370</f>
        <v>1543</v>
      </c>
      <c r="G311" s="497" t="s">
        <v>448</v>
      </c>
    </row>
    <row r="312" spans="1:7" x14ac:dyDescent="0.2">
      <c r="A312" s="494" t="s">
        <v>2005</v>
      </c>
      <c r="B312" s="496" t="s">
        <v>40</v>
      </c>
      <c r="C312" s="496" t="s">
        <v>448</v>
      </c>
      <c r="D312" s="496" t="s">
        <v>2594</v>
      </c>
      <c r="E312" s="496" t="s">
        <v>1609</v>
      </c>
      <c r="F312" s="505">
        <f>'MCS Budget - Detailed'!N371</f>
        <v>4626</v>
      </c>
      <c r="G312" s="497" t="s">
        <v>448</v>
      </c>
    </row>
    <row r="313" spans="1:7" x14ac:dyDescent="0.2">
      <c r="A313" s="494" t="s">
        <v>2005</v>
      </c>
      <c r="B313" s="496" t="s">
        <v>40</v>
      </c>
      <c r="C313" s="496" t="s">
        <v>448</v>
      </c>
      <c r="D313" s="496" t="s">
        <v>1764</v>
      </c>
      <c r="E313" s="496" t="s">
        <v>1609</v>
      </c>
      <c r="F313" s="505">
        <f>'MCS Budget - Detailed'!N374</f>
        <v>18027</v>
      </c>
      <c r="G313" s="497" t="s">
        <v>448</v>
      </c>
    </row>
    <row r="314" spans="1:7" x14ac:dyDescent="0.2">
      <c r="A314" s="496" t="s">
        <v>2005</v>
      </c>
      <c r="B314" s="496" t="s">
        <v>40</v>
      </c>
      <c r="C314" s="496" t="s">
        <v>448</v>
      </c>
      <c r="D314" s="496" t="s">
        <v>2596</v>
      </c>
      <c r="E314" s="496" t="s">
        <v>1609</v>
      </c>
      <c r="F314" s="505">
        <f>'MCS Budget - Detailed'!N375</f>
        <v>180</v>
      </c>
      <c r="G314" s="497" t="s">
        <v>448</v>
      </c>
    </row>
    <row r="315" spans="1:7" x14ac:dyDescent="0.2">
      <c r="A315" s="496" t="s">
        <v>2005</v>
      </c>
      <c r="B315" s="496" t="s">
        <v>40</v>
      </c>
      <c r="C315" s="496" t="s">
        <v>448</v>
      </c>
      <c r="D315" s="496" t="s">
        <v>2597</v>
      </c>
      <c r="E315" s="496" t="s">
        <v>1609</v>
      </c>
      <c r="F315" s="505">
        <f>'MCS Budget - Detailed'!N376</f>
        <v>2222</v>
      </c>
      <c r="G315" s="497" t="s">
        <v>448</v>
      </c>
    </row>
    <row r="316" spans="1:7" x14ac:dyDescent="0.2">
      <c r="A316" s="496" t="s">
        <v>2005</v>
      </c>
      <c r="B316" s="496" t="s">
        <v>40</v>
      </c>
      <c r="C316" s="496" t="s">
        <v>448</v>
      </c>
      <c r="D316" s="496" t="s">
        <v>2595</v>
      </c>
      <c r="E316" s="496" t="s">
        <v>1609</v>
      </c>
      <c r="F316" s="505">
        <f>'MCS Budget - Detailed'!N377</f>
        <v>8584</v>
      </c>
      <c r="G316" s="497" t="s">
        <v>448</v>
      </c>
    </row>
    <row r="317" spans="1:7" x14ac:dyDescent="0.2">
      <c r="A317" s="496" t="s">
        <v>2005</v>
      </c>
      <c r="B317" s="496" t="s">
        <v>40</v>
      </c>
      <c r="C317" s="496" t="s">
        <v>448</v>
      </c>
      <c r="D317" s="496" t="s">
        <v>1765</v>
      </c>
      <c r="E317" s="496" t="s">
        <v>1609</v>
      </c>
      <c r="F317" s="505">
        <f>'MCS Budget - Detailed'!N378</f>
        <v>1000</v>
      </c>
      <c r="G317" s="497" t="s">
        <v>448</v>
      </c>
    </row>
    <row r="318" spans="1:7" x14ac:dyDescent="0.2">
      <c r="A318" s="494" t="s">
        <v>2005</v>
      </c>
      <c r="B318" s="496" t="s">
        <v>40</v>
      </c>
      <c r="C318" s="496" t="s">
        <v>448</v>
      </c>
      <c r="D318" s="496" t="s">
        <v>1766</v>
      </c>
      <c r="E318" s="496" t="s">
        <v>1609</v>
      </c>
      <c r="F318" s="505">
        <f>'MCS Budget - Detailed'!N379</f>
        <v>6000</v>
      </c>
      <c r="G318" s="497" t="s">
        <v>448</v>
      </c>
    </row>
    <row r="319" spans="1:7" x14ac:dyDescent="0.2">
      <c r="A319" s="496" t="s">
        <v>2005</v>
      </c>
      <c r="B319" s="496" t="s">
        <v>40</v>
      </c>
      <c r="C319" s="496" t="s">
        <v>448</v>
      </c>
      <c r="D319" s="496" t="s">
        <v>2598</v>
      </c>
      <c r="E319" s="496" t="s">
        <v>1609</v>
      </c>
      <c r="F319" s="505">
        <f>'MCS Budget - Detailed'!N380</f>
        <v>505</v>
      </c>
      <c r="G319" s="497" t="s">
        <v>448</v>
      </c>
    </row>
    <row r="320" spans="1:7" x14ac:dyDescent="0.2">
      <c r="A320" s="496" t="s">
        <v>2005</v>
      </c>
      <c r="B320" s="496" t="s">
        <v>40</v>
      </c>
      <c r="C320" s="496" t="s">
        <v>448</v>
      </c>
      <c r="D320" s="496" t="s">
        <v>1767</v>
      </c>
      <c r="E320" s="496" t="s">
        <v>1609</v>
      </c>
      <c r="F320" s="505">
        <f>'MCS Budget - Detailed'!N381</f>
        <v>4000</v>
      </c>
      <c r="G320" s="497" t="s">
        <v>448</v>
      </c>
    </row>
    <row r="321" spans="1:7" x14ac:dyDescent="0.2">
      <c r="A321" s="494" t="s">
        <v>2005</v>
      </c>
      <c r="B321" s="496" t="s">
        <v>40</v>
      </c>
      <c r="C321" s="496" t="s">
        <v>448</v>
      </c>
      <c r="D321" s="496" t="s">
        <v>1768</v>
      </c>
      <c r="E321" s="496" t="s">
        <v>1609</v>
      </c>
      <c r="F321" s="505">
        <f>'MCS Budget - Detailed'!N383</f>
        <v>2000</v>
      </c>
      <c r="G321" s="497" t="s">
        <v>448</v>
      </c>
    </row>
    <row r="322" spans="1:7" x14ac:dyDescent="0.2">
      <c r="A322" s="496" t="s">
        <v>2005</v>
      </c>
      <c r="B322" s="496" t="s">
        <v>40</v>
      </c>
      <c r="C322" s="496" t="s">
        <v>448</v>
      </c>
      <c r="D322" s="496" t="s">
        <v>1769</v>
      </c>
      <c r="E322" s="496" t="s">
        <v>1609</v>
      </c>
      <c r="F322" s="505">
        <f>'MCS Budget - Detailed'!N385</f>
        <v>9000</v>
      </c>
      <c r="G322" s="497" t="s">
        <v>448</v>
      </c>
    </row>
    <row r="323" spans="1:7" x14ac:dyDescent="0.2">
      <c r="A323" s="494" t="s">
        <v>2005</v>
      </c>
      <c r="B323" s="496" t="s">
        <v>40</v>
      </c>
      <c r="C323" s="496" t="s">
        <v>448</v>
      </c>
      <c r="D323" s="496" t="s">
        <v>2605</v>
      </c>
      <c r="E323" s="496" t="s">
        <v>1609</v>
      </c>
      <c r="F323" s="505">
        <f>'MCS Budget - Detailed'!N386</f>
        <v>2580</v>
      </c>
      <c r="G323" s="497" t="s">
        <v>448</v>
      </c>
    </row>
    <row r="324" spans="1:7" x14ac:dyDescent="0.2">
      <c r="A324" s="494" t="s">
        <v>2005</v>
      </c>
      <c r="B324" s="496" t="s">
        <v>40</v>
      </c>
      <c r="C324" s="496" t="s">
        <v>448</v>
      </c>
      <c r="D324" s="496" t="s">
        <v>2604</v>
      </c>
      <c r="E324" s="496" t="s">
        <v>1609</v>
      </c>
      <c r="F324" s="505">
        <f>'MCS Budget - Detailed'!N387</f>
        <v>7300</v>
      </c>
      <c r="G324" s="497" t="s">
        <v>448</v>
      </c>
    </row>
    <row r="325" spans="1:7" x14ac:dyDescent="0.2">
      <c r="A325" s="494" t="s">
        <v>2005</v>
      </c>
      <c r="B325" s="496" t="s">
        <v>40</v>
      </c>
      <c r="C325" s="496" t="s">
        <v>448</v>
      </c>
      <c r="D325" s="496" t="s">
        <v>2603</v>
      </c>
      <c r="E325" s="496" t="s">
        <v>1609</v>
      </c>
      <c r="F325" s="505">
        <f>'MCS Budget - Detailed'!N388</f>
        <v>1500</v>
      </c>
      <c r="G325" s="497" t="s">
        <v>448</v>
      </c>
    </row>
    <row r="326" spans="1:7" x14ac:dyDescent="0.2">
      <c r="A326" s="494" t="s">
        <v>2005</v>
      </c>
      <c r="B326" s="496" t="s">
        <v>40</v>
      </c>
      <c r="C326" s="496" t="s">
        <v>448</v>
      </c>
      <c r="D326" s="496" t="s">
        <v>2602</v>
      </c>
      <c r="E326" s="496" t="s">
        <v>1609</v>
      </c>
      <c r="F326" s="505">
        <f>'MCS Budget - Detailed'!N389</f>
        <v>1200</v>
      </c>
      <c r="G326" s="497" t="s">
        <v>448</v>
      </c>
    </row>
    <row r="327" spans="1:7" x14ac:dyDescent="0.2">
      <c r="A327" s="494" t="s">
        <v>2005</v>
      </c>
      <c r="B327" s="496" t="s">
        <v>40</v>
      </c>
      <c r="C327" s="496" t="s">
        <v>448</v>
      </c>
      <c r="D327" s="496" t="s">
        <v>2601</v>
      </c>
      <c r="E327" s="496" t="s">
        <v>1609</v>
      </c>
      <c r="F327" s="505">
        <f>'MCS Budget - Detailed'!N390</f>
        <v>1000</v>
      </c>
      <c r="G327" s="497" t="s">
        <v>448</v>
      </c>
    </row>
    <row r="328" spans="1:7" x14ac:dyDescent="0.2">
      <c r="A328" s="494" t="s">
        <v>2005</v>
      </c>
      <c r="B328" s="496" t="s">
        <v>40</v>
      </c>
      <c r="C328" s="496" t="s">
        <v>448</v>
      </c>
      <c r="D328" s="496" t="s">
        <v>2600</v>
      </c>
      <c r="E328" s="496" t="s">
        <v>1609</v>
      </c>
      <c r="F328" s="505">
        <f>'MCS Budget - Detailed'!N391</f>
        <v>5087</v>
      </c>
      <c r="G328" s="497" t="s">
        <v>448</v>
      </c>
    </row>
    <row r="329" spans="1:7" x14ac:dyDescent="0.2">
      <c r="A329" s="494" t="s">
        <v>2005</v>
      </c>
      <c r="B329" s="496" t="s">
        <v>40</v>
      </c>
      <c r="C329" s="496" t="s">
        <v>448</v>
      </c>
      <c r="D329" s="496" t="s">
        <v>2599</v>
      </c>
      <c r="E329" s="496" t="s">
        <v>1609</v>
      </c>
      <c r="F329" s="505">
        <f>'MCS Budget - Detailed'!N392</f>
        <v>7000</v>
      </c>
      <c r="G329" s="497" t="s">
        <v>448</v>
      </c>
    </row>
    <row r="330" spans="1:7" x14ac:dyDescent="0.2">
      <c r="A330" s="494" t="s">
        <v>2005</v>
      </c>
      <c r="B330" s="496" t="s">
        <v>40</v>
      </c>
      <c r="C330" s="496" t="s">
        <v>448</v>
      </c>
      <c r="D330" s="496" t="s">
        <v>2692</v>
      </c>
      <c r="E330" s="496" t="s">
        <v>1609</v>
      </c>
      <c r="F330" s="505">
        <f>'MCS Budget - Detailed'!N394</f>
        <v>1240</v>
      </c>
      <c r="G330" s="497" t="s">
        <v>448</v>
      </c>
    </row>
    <row r="331" spans="1:7" x14ac:dyDescent="0.2">
      <c r="A331" s="494" t="s">
        <v>2005</v>
      </c>
      <c r="B331" s="496" t="s">
        <v>40</v>
      </c>
      <c r="C331" s="496" t="s">
        <v>448</v>
      </c>
      <c r="D331" s="496" t="s">
        <v>1770</v>
      </c>
      <c r="E331" s="496" t="s">
        <v>1609</v>
      </c>
      <c r="F331" s="505">
        <f>'MCS Budget - Detailed'!N395</f>
        <v>1000</v>
      </c>
      <c r="G331" s="497" t="s">
        <v>448</v>
      </c>
    </row>
    <row r="332" spans="1:7" x14ac:dyDescent="0.2">
      <c r="A332" s="494" t="s">
        <v>2005</v>
      </c>
      <c r="B332" s="496" t="s">
        <v>40</v>
      </c>
      <c r="C332" s="496" t="s">
        <v>448</v>
      </c>
      <c r="D332" s="496" t="s">
        <v>2606</v>
      </c>
      <c r="E332" s="496" t="s">
        <v>1609</v>
      </c>
      <c r="F332" s="505">
        <f>'MCS Budget - Detailed'!N396</f>
        <v>1000</v>
      </c>
      <c r="G332" s="497" t="s">
        <v>448</v>
      </c>
    </row>
    <row r="333" spans="1:7" x14ac:dyDescent="0.2">
      <c r="A333" s="496" t="s">
        <v>2005</v>
      </c>
      <c r="B333" s="496" t="s">
        <v>40</v>
      </c>
      <c r="C333" s="496" t="s">
        <v>448</v>
      </c>
      <c r="D333" s="496" t="s">
        <v>1771</v>
      </c>
      <c r="E333" s="496" t="s">
        <v>1609</v>
      </c>
      <c r="F333" s="505">
        <f>'MCS Budget - Detailed'!N397</f>
        <v>1000</v>
      </c>
      <c r="G333" s="497" t="s">
        <v>448</v>
      </c>
    </row>
    <row r="334" spans="1:7" x14ac:dyDescent="0.2">
      <c r="A334" s="494" t="s">
        <v>2005</v>
      </c>
      <c r="B334" s="496" t="s">
        <v>40</v>
      </c>
      <c r="C334" s="496" t="s">
        <v>448</v>
      </c>
      <c r="D334" s="496" t="s">
        <v>1772</v>
      </c>
      <c r="E334" s="496" t="s">
        <v>1609</v>
      </c>
      <c r="F334" s="505">
        <f>'MCS Budget - Detailed'!N399</f>
        <v>420</v>
      </c>
      <c r="G334" s="497" t="s">
        <v>448</v>
      </c>
    </row>
    <row r="335" spans="1:7" x14ac:dyDescent="0.2">
      <c r="A335" s="494" t="s">
        <v>2005</v>
      </c>
      <c r="B335" s="496" t="s">
        <v>40</v>
      </c>
      <c r="C335" s="496" t="s">
        <v>448</v>
      </c>
      <c r="D335" s="496" t="s">
        <v>2067</v>
      </c>
      <c r="E335" s="496" t="s">
        <v>1609</v>
      </c>
      <c r="F335" s="505">
        <f>'MCS Budget - Detailed'!N400</f>
        <v>2</v>
      </c>
      <c r="G335" s="497" t="s">
        <v>448</v>
      </c>
    </row>
    <row r="336" spans="1:7" x14ac:dyDescent="0.2">
      <c r="A336" s="496" t="s">
        <v>2005</v>
      </c>
      <c r="B336" s="496" t="s">
        <v>40</v>
      </c>
      <c r="C336" s="496" t="s">
        <v>448</v>
      </c>
      <c r="D336" s="496" t="s">
        <v>2068</v>
      </c>
      <c r="E336" s="496" t="s">
        <v>1609</v>
      </c>
      <c r="F336" s="505">
        <f>'MCS Budget - Detailed'!N401</f>
        <v>6</v>
      </c>
      <c r="G336" s="497" t="s">
        <v>448</v>
      </c>
    </row>
    <row r="337" spans="1:7" x14ac:dyDescent="0.2">
      <c r="A337" s="494" t="s">
        <v>2005</v>
      </c>
      <c r="B337" s="496" t="s">
        <v>40</v>
      </c>
      <c r="C337" s="496" t="s">
        <v>448</v>
      </c>
      <c r="D337" s="496" t="s">
        <v>2069</v>
      </c>
      <c r="E337" s="496" t="s">
        <v>1609</v>
      </c>
      <c r="F337" s="505">
        <f>'MCS Budget - Detailed'!N402</f>
        <v>86</v>
      </c>
      <c r="G337" s="497" t="s">
        <v>448</v>
      </c>
    </row>
    <row r="338" spans="1:7" x14ac:dyDescent="0.2">
      <c r="A338" s="494" t="s">
        <v>2005</v>
      </c>
      <c r="B338" s="496" t="s">
        <v>40</v>
      </c>
      <c r="C338" s="496" t="s">
        <v>448</v>
      </c>
      <c r="D338" s="496" t="s">
        <v>2607</v>
      </c>
      <c r="E338" s="496" t="s">
        <v>1609</v>
      </c>
      <c r="F338" s="505">
        <f>'MCS Budget - Detailed'!N403</f>
        <v>1500</v>
      </c>
      <c r="G338" s="497" t="s">
        <v>448</v>
      </c>
    </row>
    <row r="339" spans="1:7" x14ac:dyDescent="0.2">
      <c r="A339" s="494" t="s">
        <v>2005</v>
      </c>
      <c r="B339" s="496" t="s">
        <v>40</v>
      </c>
      <c r="C339" s="496" t="s">
        <v>448</v>
      </c>
      <c r="D339" s="496" t="s">
        <v>2070</v>
      </c>
      <c r="E339" s="496" t="s">
        <v>1609</v>
      </c>
      <c r="F339" s="505">
        <f>'MCS Budget - Detailed'!N404</f>
        <v>536</v>
      </c>
      <c r="G339" s="497" t="s">
        <v>448</v>
      </c>
    </row>
    <row r="340" spans="1:7" x14ac:dyDescent="0.2">
      <c r="A340" s="494" t="s">
        <v>2005</v>
      </c>
      <c r="B340" s="496" t="s">
        <v>40</v>
      </c>
      <c r="C340" s="496" t="s">
        <v>448</v>
      </c>
      <c r="D340" s="496" t="s">
        <v>2071</v>
      </c>
      <c r="E340" s="496" t="s">
        <v>1609</v>
      </c>
      <c r="F340" s="505">
        <f>'MCS Budget - Detailed'!N405</f>
        <v>100</v>
      </c>
      <c r="G340" s="497" t="s">
        <v>448</v>
      </c>
    </row>
    <row r="341" spans="1:7" x14ac:dyDescent="0.2">
      <c r="A341" s="494" t="s">
        <v>2005</v>
      </c>
      <c r="B341" s="496" t="s">
        <v>40</v>
      </c>
      <c r="C341" s="496" t="s">
        <v>448</v>
      </c>
      <c r="D341" s="496" t="s">
        <v>2072</v>
      </c>
      <c r="E341" s="496" t="s">
        <v>1609</v>
      </c>
      <c r="F341" s="505">
        <f>'MCS Budget - Detailed'!N406</f>
        <v>150</v>
      </c>
      <c r="G341" s="497" t="s">
        <v>448</v>
      </c>
    </row>
    <row r="342" spans="1:7" x14ac:dyDescent="0.2">
      <c r="A342" s="496" t="s">
        <v>2005</v>
      </c>
      <c r="B342" s="496" t="s">
        <v>40</v>
      </c>
      <c r="C342" s="496" t="s">
        <v>448</v>
      </c>
      <c r="D342" s="496" t="s">
        <v>1773</v>
      </c>
      <c r="E342" s="496" t="s">
        <v>1609</v>
      </c>
      <c r="F342" s="505">
        <f>'MCS Budget - Detailed'!N408</f>
        <v>32971</v>
      </c>
      <c r="G342" s="497" t="s">
        <v>448</v>
      </c>
    </row>
    <row r="343" spans="1:7" x14ac:dyDescent="0.2">
      <c r="A343" s="494" t="s">
        <v>2005</v>
      </c>
      <c r="B343" s="496" t="s">
        <v>40</v>
      </c>
      <c r="C343" s="496" t="s">
        <v>448</v>
      </c>
      <c r="D343" s="496" t="s">
        <v>1774</v>
      </c>
      <c r="E343" s="496" t="s">
        <v>1609</v>
      </c>
      <c r="F343" s="505">
        <f>'MCS Budget - Detailed'!N409</f>
        <v>750</v>
      </c>
      <c r="G343" s="499" t="s">
        <v>448</v>
      </c>
    </row>
    <row r="344" spans="1:7" x14ac:dyDescent="0.2">
      <c r="A344" s="496" t="s">
        <v>2005</v>
      </c>
      <c r="B344" s="496" t="s">
        <v>40</v>
      </c>
      <c r="C344" s="496" t="s">
        <v>448</v>
      </c>
      <c r="D344" s="496" t="s">
        <v>1775</v>
      </c>
      <c r="E344" s="496" t="s">
        <v>1609</v>
      </c>
      <c r="F344" s="505">
        <f>'MCS Budget - Detailed'!N410</f>
        <v>55</v>
      </c>
      <c r="G344" s="497" t="s">
        <v>448</v>
      </c>
    </row>
    <row r="345" spans="1:7" x14ac:dyDescent="0.2">
      <c r="A345" s="494" t="s">
        <v>2005</v>
      </c>
      <c r="B345" s="496" t="s">
        <v>40</v>
      </c>
      <c r="C345" s="496" t="s">
        <v>448</v>
      </c>
      <c r="D345" s="496" t="s">
        <v>1776</v>
      </c>
      <c r="E345" s="496" t="s">
        <v>1609</v>
      </c>
      <c r="F345" s="505">
        <f>'MCS Budget - Detailed'!N411</f>
        <v>102</v>
      </c>
      <c r="G345" s="497" t="s">
        <v>448</v>
      </c>
    </row>
    <row r="346" spans="1:7" x14ac:dyDescent="0.2">
      <c r="A346" s="496" t="s">
        <v>2005</v>
      </c>
      <c r="B346" s="496" t="s">
        <v>40</v>
      </c>
      <c r="C346" s="496" t="s">
        <v>448</v>
      </c>
      <c r="D346" s="496" t="s">
        <v>1777</v>
      </c>
      <c r="E346" s="496" t="s">
        <v>1609</v>
      </c>
      <c r="F346" s="505">
        <f>'MCS Budget - Detailed'!N412</f>
        <v>489</v>
      </c>
      <c r="G346" s="497" t="s">
        <v>448</v>
      </c>
    </row>
    <row r="347" spans="1:7" x14ac:dyDescent="0.2">
      <c r="A347" s="494" t="s">
        <v>2005</v>
      </c>
      <c r="B347" s="496" t="s">
        <v>40</v>
      </c>
      <c r="C347" s="496" t="s">
        <v>448</v>
      </c>
      <c r="D347" s="496" t="s">
        <v>1778</v>
      </c>
      <c r="E347" s="496" t="s">
        <v>1609</v>
      </c>
      <c r="F347" s="505">
        <f>'MCS Budget - Detailed'!N413</f>
        <v>6880</v>
      </c>
      <c r="G347" s="497" t="s">
        <v>448</v>
      </c>
    </row>
    <row r="348" spans="1:7" x14ac:dyDescent="0.2">
      <c r="A348" s="496" t="s">
        <v>2005</v>
      </c>
      <c r="B348" s="496" t="s">
        <v>40</v>
      </c>
      <c r="C348" s="496" t="s">
        <v>448</v>
      </c>
      <c r="D348" s="496" t="s">
        <v>1779</v>
      </c>
      <c r="E348" s="496" t="s">
        <v>1609</v>
      </c>
      <c r="F348" s="505">
        <f>'MCS Budget - Detailed'!N414</f>
        <v>5141</v>
      </c>
      <c r="G348" s="497" t="s">
        <v>448</v>
      </c>
    </row>
    <row r="349" spans="1:7" x14ac:dyDescent="0.2">
      <c r="A349" s="494" t="s">
        <v>2005</v>
      </c>
      <c r="B349" s="496" t="s">
        <v>40</v>
      </c>
      <c r="C349" s="496" t="s">
        <v>448</v>
      </c>
      <c r="D349" s="496" t="s">
        <v>2608</v>
      </c>
      <c r="E349" s="496" t="s">
        <v>1609</v>
      </c>
      <c r="F349" s="505">
        <f>'MCS Budget - Detailed'!N415</f>
        <v>1012</v>
      </c>
      <c r="G349" s="497" t="s">
        <v>448</v>
      </c>
    </row>
    <row r="350" spans="1:7" x14ac:dyDescent="0.2">
      <c r="A350" s="494" t="s">
        <v>2005</v>
      </c>
      <c r="B350" s="496" t="s">
        <v>40</v>
      </c>
      <c r="C350" s="496" t="s">
        <v>448</v>
      </c>
      <c r="D350" s="496" t="s">
        <v>1780</v>
      </c>
      <c r="E350" s="496" t="s">
        <v>1609</v>
      </c>
      <c r="F350" s="505">
        <f>'MCS Budget - Detailed'!N416</f>
        <v>1000</v>
      </c>
      <c r="G350" s="497" t="s">
        <v>448</v>
      </c>
    </row>
    <row r="351" spans="1:7" x14ac:dyDescent="0.2">
      <c r="A351" s="494" t="s">
        <v>2005</v>
      </c>
      <c r="B351" s="496" t="s">
        <v>40</v>
      </c>
      <c r="C351" s="496" t="s">
        <v>448</v>
      </c>
      <c r="D351" s="496" t="s">
        <v>2609</v>
      </c>
      <c r="E351" s="496" t="s">
        <v>1609</v>
      </c>
      <c r="F351" s="505">
        <f>'MCS Budget - Detailed'!N417</f>
        <v>1000</v>
      </c>
      <c r="G351" s="497" t="s">
        <v>448</v>
      </c>
    </row>
    <row r="352" spans="1:7" x14ac:dyDescent="0.2">
      <c r="A352" s="494" t="s">
        <v>2005</v>
      </c>
      <c r="B352" s="496" t="s">
        <v>40</v>
      </c>
      <c r="C352" s="496" t="s">
        <v>448</v>
      </c>
      <c r="D352" s="496" t="s">
        <v>2103</v>
      </c>
      <c r="E352" s="496" t="s">
        <v>1609</v>
      </c>
      <c r="F352" s="505">
        <f>'MCS Budget - Detailed'!N419</f>
        <v>1518</v>
      </c>
      <c r="G352" s="497" t="s">
        <v>448</v>
      </c>
    </row>
    <row r="353" spans="1:7" x14ac:dyDescent="0.2">
      <c r="A353" s="496" t="s">
        <v>2005</v>
      </c>
      <c r="B353" s="496" t="s">
        <v>40</v>
      </c>
      <c r="C353" s="496" t="s">
        <v>448</v>
      </c>
      <c r="D353" s="496" t="s">
        <v>1781</v>
      </c>
      <c r="E353" s="496" t="s">
        <v>1609</v>
      </c>
      <c r="F353" s="505">
        <f>'MCS Budget - Detailed'!N421</f>
        <v>50389</v>
      </c>
      <c r="G353" s="497" t="s">
        <v>448</v>
      </c>
    </row>
    <row r="354" spans="1:7" x14ac:dyDescent="0.2">
      <c r="A354" s="494" t="s">
        <v>2005</v>
      </c>
      <c r="B354" s="496" t="s">
        <v>40</v>
      </c>
      <c r="C354" s="496" t="s">
        <v>448</v>
      </c>
      <c r="D354" s="496" t="s">
        <v>1782</v>
      </c>
      <c r="E354" s="496" t="s">
        <v>1609</v>
      </c>
      <c r="F354" s="505">
        <f>'MCS Budget - Detailed'!N422</f>
        <v>1250</v>
      </c>
      <c r="G354" s="497" t="s">
        <v>448</v>
      </c>
    </row>
    <row r="355" spans="1:7" x14ac:dyDescent="0.2">
      <c r="A355" s="496" t="s">
        <v>2005</v>
      </c>
      <c r="B355" s="496" t="s">
        <v>40</v>
      </c>
      <c r="C355" s="496" t="s">
        <v>448</v>
      </c>
      <c r="D355" s="496" t="s">
        <v>1783</v>
      </c>
      <c r="E355" s="496" t="s">
        <v>1609</v>
      </c>
      <c r="F355" s="505">
        <f>'MCS Budget - Detailed'!N423</f>
        <v>99</v>
      </c>
      <c r="G355" s="497" t="s">
        <v>448</v>
      </c>
    </row>
    <row r="356" spans="1:7" x14ac:dyDescent="0.2">
      <c r="A356" s="494" t="s">
        <v>2005</v>
      </c>
      <c r="B356" s="496" t="s">
        <v>40</v>
      </c>
      <c r="C356" s="496" t="s">
        <v>448</v>
      </c>
      <c r="D356" s="496" t="s">
        <v>1784</v>
      </c>
      <c r="E356" s="496" t="s">
        <v>1609</v>
      </c>
      <c r="F356" s="505">
        <f>'MCS Budget - Detailed'!N424</f>
        <v>155</v>
      </c>
      <c r="G356" s="497" t="s">
        <v>448</v>
      </c>
    </row>
    <row r="357" spans="1:7" x14ac:dyDescent="0.2">
      <c r="A357" s="496" t="s">
        <v>2005</v>
      </c>
      <c r="B357" s="496" t="s">
        <v>40</v>
      </c>
      <c r="C357" s="496" t="s">
        <v>448</v>
      </c>
      <c r="D357" s="496" t="s">
        <v>1785</v>
      </c>
      <c r="E357" s="496" t="s">
        <v>1609</v>
      </c>
      <c r="F357" s="505">
        <f>'MCS Budget - Detailed'!N425</f>
        <v>749</v>
      </c>
      <c r="G357" s="497" t="s">
        <v>448</v>
      </c>
    </row>
    <row r="358" spans="1:7" x14ac:dyDescent="0.2">
      <c r="A358" s="494" t="s">
        <v>2005</v>
      </c>
      <c r="B358" s="496" t="s">
        <v>40</v>
      </c>
      <c r="C358" s="496" t="s">
        <v>448</v>
      </c>
      <c r="D358" s="496" t="s">
        <v>1786</v>
      </c>
      <c r="E358" s="496" t="s">
        <v>1609</v>
      </c>
      <c r="F358" s="505">
        <f>'MCS Budget - Detailed'!N426</f>
        <v>10535</v>
      </c>
      <c r="G358" s="497" t="s">
        <v>448</v>
      </c>
    </row>
    <row r="359" spans="1:7" x14ac:dyDescent="0.2">
      <c r="A359" s="496" t="s">
        <v>2005</v>
      </c>
      <c r="B359" s="496" t="s">
        <v>40</v>
      </c>
      <c r="C359" s="496" t="s">
        <v>448</v>
      </c>
      <c r="D359" s="496" t="s">
        <v>1787</v>
      </c>
      <c r="E359" s="496" t="s">
        <v>1609</v>
      </c>
      <c r="F359" s="505">
        <f>'MCS Budget - Detailed'!N427</f>
        <v>9253</v>
      </c>
      <c r="G359" s="497" t="s">
        <v>448</v>
      </c>
    </row>
    <row r="360" spans="1:7" x14ac:dyDescent="0.2">
      <c r="A360" s="496" t="s">
        <v>2005</v>
      </c>
      <c r="B360" s="496" t="s">
        <v>40</v>
      </c>
      <c r="C360" s="496" t="s">
        <v>448</v>
      </c>
      <c r="D360" s="496" t="s">
        <v>2610</v>
      </c>
      <c r="E360" s="496" t="s">
        <v>1609</v>
      </c>
      <c r="F360" s="505">
        <f>'MCS Budget - Detailed'!N428</f>
        <v>1549</v>
      </c>
      <c r="G360" s="497" t="s">
        <v>448</v>
      </c>
    </row>
    <row r="361" spans="1:7" x14ac:dyDescent="0.2">
      <c r="A361" s="496" t="s">
        <v>2005</v>
      </c>
      <c r="B361" s="496" t="s">
        <v>40</v>
      </c>
      <c r="C361" s="496" t="s">
        <v>448</v>
      </c>
      <c r="D361" s="496" t="s">
        <v>2073</v>
      </c>
      <c r="E361" s="496" t="s">
        <v>1609</v>
      </c>
      <c r="F361" s="505">
        <f>'MCS Budget - Detailed'!N429</f>
        <v>0</v>
      </c>
      <c r="G361" s="497" t="s">
        <v>448</v>
      </c>
    </row>
    <row r="362" spans="1:7" x14ac:dyDescent="0.2">
      <c r="A362" s="494" t="s">
        <v>2005</v>
      </c>
      <c r="B362" s="496" t="s">
        <v>40</v>
      </c>
      <c r="C362" s="496" t="s">
        <v>448</v>
      </c>
      <c r="D362" s="496" t="s">
        <v>2611</v>
      </c>
      <c r="E362" s="496" t="s">
        <v>1609</v>
      </c>
      <c r="F362" s="505">
        <f>'MCS Budget - Detailed'!N430</f>
        <v>300</v>
      </c>
      <c r="G362" s="497" t="s">
        <v>448</v>
      </c>
    </row>
    <row r="363" spans="1:7" x14ac:dyDescent="0.2">
      <c r="A363" s="494" t="s">
        <v>2005</v>
      </c>
      <c r="B363" s="496" t="s">
        <v>40</v>
      </c>
      <c r="C363" s="496" t="s">
        <v>448</v>
      </c>
      <c r="D363" s="496" t="s">
        <v>1788</v>
      </c>
      <c r="E363" s="496" t="s">
        <v>1609</v>
      </c>
      <c r="F363" s="505">
        <f>'MCS Budget - Detailed'!N431</f>
        <v>1500</v>
      </c>
      <c r="G363" s="497" t="s">
        <v>448</v>
      </c>
    </row>
    <row r="364" spans="1:7" x14ac:dyDescent="0.2">
      <c r="A364" s="494" t="s">
        <v>2005</v>
      </c>
      <c r="B364" s="496" t="s">
        <v>40</v>
      </c>
      <c r="C364" s="496" t="s">
        <v>448</v>
      </c>
      <c r="D364" s="496" t="s">
        <v>2074</v>
      </c>
      <c r="E364" s="496" t="s">
        <v>1609</v>
      </c>
      <c r="F364" s="505">
        <f>'MCS Budget - Detailed'!N432</f>
        <v>4800</v>
      </c>
      <c r="G364" s="497" t="s">
        <v>448</v>
      </c>
    </row>
    <row r="365" spans="1:7" x14ac:dyDescent="0.2">
      <c r="A365" s="494" t="s">
        <v>2005</v>
      </c>
      <c r="B365" s="496" t="s">
        <v>40</v>
      </c>
      <c r="C365" s="496" t="s">
        <v>448</v>
      </c>
      <c r="D365" s="496" t="s">
        <v>2612</v>
      </c>
      <c r="E365" s="496" t="s">
        <v>1609</v>
      </c>
      <c r="F365" s="505">
        <f>'MCS Budget - Detailed'!N433</f>
        <v>1304</v>
      </c>
      <c r="G365" s="497" t="s">
        <v>448</v>
      </c>
    </row>
    <row r="366" spans="1:7" x14ac:dyDescent="0.2">
      <c r="A366" s="494" t="s">
        <v>2005</v>
      </c>
      <c r="B366" s="496" t="s">
        <v>40</v>
      </c>
      <c r="C366" s="496" t="s">
        <v>448</v>
      </c>
      <c r="D366" s="496" t="s">
        <v>2075</v>
      </c>
      <c r="E366" s="496" t="s">
        <v>1609</v>
      </c>
      <c r="F366" s="505">
        <f>'MCS Budget - Detailed'!N434</f>
        <v>5400</v>
      </c>
      <c r="G366" s="497" t="s">
        <v>448</v>
      </c>
    </row>
    <row r="367" spans="1:7" x14ac:dyDescent="0.2">
      <c r="A367" s="496" t="s">
        <v>2005</v>
      </c>
      <c r="B367" s="496" t="s">
        <v>40</v>
      </c>
      <c r="C367" s="496" t="s">
        <v>448</v>
      </c>
      <c r="D367" s="496" t="s">
        <v>1789</v>
      </c>
      <c r="E367" s="496" t="s">
        <v>1609</v>
      </c>
      <c r="F367" s="505">
        <f>'MCS Budget - Detailed'!N437</f>
        <v>30015</v>
      </c>
      <c r="G367" s="497" t="s">
        <v>448</v>
      </c>
    </row>
    <row r="368" spans="1:7" x14ac:dyDescent="0.2">
      <c r="A368" s="496" t="s">
        <v>2005</v>
      </c>
      <c r="B368" s="496" t="s">
        <v>40</v>
      </c>
      <c r="C368" s="496" t="s">
        <v>448</v>
      </c>
      <c r="D368" s="496" t="s">
        <v>2076</v>
      </c>
      <c r="E368" s="496" t="s">
        <v>1609</v>
      </c>
      <c r="F368" s="505">
        <f>'MCS Budget - Detailed'!N438</f>
        <v>900</v>
      </c>
      <c r="G368" s="497" t="s">
        <v>448</v>
      </c>
    </row>
    <row r="369" spans="1:7" x14ac:dyDescent="0.2">
      <c r="A369" s="494" t="s">
        <v>2005</v>
      </c>
      <c r="B369" s="496" t="s">
        <v>40</v>
      </c>
      <c r="C369" s="496" t="s">
        <v>448</v>
      </c>
      <c r="D369" s="496" t="s">
        <v>2077</v>
      </c>
      <c r="E369" s="496" t="s">
        <v>1609</v>
      </c>
      <c r="F369" s="505">
        <f>'MCS Budget - Detailed'!N439</f>
        <v>66</v>
      </c>
      <c r="G369" s="497" t="s">
        <v>448</v>
      </c>
    </row>
    <row r="370" spans="1:7" x14ac:dyDescent="0.2">
      <c r="A370" s="494" t="s">
        <v>2005</v>
      </c>
      <c r="B370" s="496" t="s">
        <v>40</v>
      </c>
      <c r="C370" s="496" t="s">
        <v>448</v>
      </c>
      <c r="D370" s="496" t="s">
        <v>1790</v>
      </c>
      <c r="E370" s="496" t="s">
        <v>1609</v>
      </c>
      <c r="F370" s="505">
        <f>'MCS Budget - Detailed'!N440</f>
        <v>93</v>
      </c>
      <c r="G370" s="497" t="s">
        <v>448</v>
      </c>
    </row>
    <row r="371" spans="1:7" x14ac:dyDescent="0.2">
      <c r="A371" s="496" t="s">
        <v>2005</v>
      </c>
      <c r="B371" s="496" t="s">
        <v>40</v>
      </c>
      <c r="C371" s="496" t="s">
        <v>448</v>
      </c>
      <c r="D371" s="496" t="s">
        <v>1791</v>
      </c>
      <c r="E371" s="496" t="s">
        <v>1609</v>
      </c>
      <c r="F371" s="505">
        <f>'MCS Budget - Detailed'!N441</f>
        <v>449</v>
      </c>
      <c r="G371" s="497" t="s">
        <v>448</v>
      </c>
    </row>
    <row r="372" spans="1:7" x14ac:dyDescent="0.2">
      <c r="A372" s="494" t="s">
        <v>2005</v>
      </c>
      <c r="B372" s="496" t="s">
        <v>40</v>
      </c>
      <c r="C372" s="496" t="s">
        <v>448</v>
      </c>
      <c r="D372" s="496" t="s">
        <v>1792</v>
      </c>
      <c r="E372" s="496" t="s">
        <v>1609</v>
      </c>
      <c r="F372" s="505">
        <f>'MCS Budget - Detailed'!N442</f>
        <v>6307</v>
      </c>
      <c r="G372" s="497" t="s">
        <v>448</v>
      </c>
    </row>
    <row r="373" spans="1:7" x14ac:dyDescent="0.2">
      <c r="A373" s="494" t="s">
        <v>2005</v>
      </c>
      <c r="B373" s="496" t="s">
        <v>40</v>
      </c>
      <c r="C373" s="496" t="s">
        <v>448</v>
      </c>
      <c r="D373" s="496" t="s">
        <v>2078</v>
      </c>
      <c r="E373" s="496" t="s">
        <v>1609</v>
      </c>
      <c r="F373" s="505">
        <f>'MCS Budget - Detailed'!N443</f>
        <v>6169</v>
      </c>
      <c r="G373" s="497" t="s">
        <v>448</v>
      </c>
    </row>
    <row r="374" spans="1:7" x14ac:dyDescent="0.2">
      <c r="A374" s="494" t="s">
        <v>2005</v>
      </c>
      <c r="B374" s="496" t="s">
        <v>40</v>
      </c>
      <c r="C374" s="496" t="s">
        <v>448</v>
      </c>
      <c r="D374" s="496" t="s">
        <v>2613</v>
      </c>
      <c r="E374" s="496" t="s">
        <v>1609</v>
      </c>
      <c r="F374" s="505">
        <f>'MCS Budget - Detailed'!N444</f>
        <v>927</v>
      </c>
      <c r="G374" s="497" t="s">
        <v>448</v>
      </c>
    </row>
    <row r="375" spans="1:7" x14ac:dyDescent="0.2">
      <c r="A375" s="496" t="s">
        <v>2005</v>
      </c>
      <c r="B375" s="496" t="s">
        <v>40</v>
      </c>
      <c r="C375" s="496" t="s">
        <v>448</v>
      </c>
      <c r="D375" s="496" t="s">
        <v>1793</v>
      </c>
      <c r="E375" s="496" t="s">
        <v>1609</v>
      </c>
      <c r="F375" s="505">
        <f>'MCS Budget - Detailed'!N445</f>
        <v>500</v>
      </c>
      <c r="G375" s="497" t="s">
        <v>448</v>
      </c>
    </row>
    <row r="376" spans="1:7" x14ac:dyDescent="0.2">
      <c r="A376" s="496" t="s">
        <v>2005</v>
      </c>
      <c r="B376" s="496" t="s">
        <v>40</v>
      </c>
      <c r="C376" s="496" t="s">
        <v>448</v>
      </c>
      <c r="D376" s="496" t="s">
        <v>2104</v>
      </c>
      <c r="E376" s="496" t="s">
        <v>1609</v>
      </c>
      <c r="F376" s="505">
        <f>'MCS Budget - Detailed'!N446</f>
        <v>1518</v>
      </c>
      <c r="G376" s="497" t="s">
        <v>448</v>
      </c>
    </row>
    <row r="377" spans="1:7" x14ac:dyDescent="0.2">
      <c r="A377" s="494" t="s">
        <v>2005</v>
      </c>
      <c r="B377" s="496" t="s">
        <v>40</v>
      </c>
      <c r="C377" s="496" t="s">
        <v>448</v>
      </c>
      <c r="D377" s="496" t="s">
        <v>1794</v>
      </c>
      <c r="E377" s="496" t="s">
        <v>1609</v>
      </c>
      <c r="F377" s="505">
        <f>'MCS Budget - Detailed'!N448</f>
        <v>10150</v>
      </c>
      <c r="G377" s="497" t="s">
        <v>448</v>
      </c>
    </row>
    <row r="378" spans="1:7" x14ac:dyDescent="0.2">
      <c r="A378" s="494" t="s">
        <v>2005</v>
      </c>
      <c r="B378" s="496" t="s">
        <v>40</v>
      </c>
      <c r="C378" s="496" t="s">
        <v>448</v>
      </c>
      <c r="D378" s="496" t="s">
        <v>2614</v>
      </c>
      <c r="E378" s="496" t="s">
        <v>1609</v>
      </c>
      <c r="F378" s="505">
        <f>'MCS Budget - Detailed'!N449</f>
        <v>1000</v>
      </c>
      <c r="G378" s="497" t="s">
        <v>448</v>
      </c>
    </row>
    <row r="379" spans="1:7" x14ac:dyDescent="0.2">
      <c r="A379" s="496" t="s">
        <v>2005</v>
      </c>
      <c r="B379" s="496" t="s">
        <v>40</v>
      </c>
      <c r="C379" s="496" t="s">
        <v>448</v>
      </c>
      <c r="D379" s="496" t="s">
        <v>1795</v>
      </c>
      <c r="E379" s="496" t="s">
        <v>1609</v>
      </c>
      <c r="F379" s="505">
        <f>'MCS Budget - Detailed'!N451</f>
        <v>31</v>
      </c>
      <c r="G379" s="497" t="s">
        <v>448</v>
      </c>
    </row>
    <row r="380" spans="1:7" x14ac:dyDescent="0.2">
      <c r="A380" s="496" t="s">
        <v>2005</v>
      </c>
      <c r="B380" s="496" t="s">
        <v>40</v>
      </c>
      <c r="C380" s="496" t="s">
        <v>448</v>
      </c>
      <c r="D380" s="496" t="s">
        <v>2615</v>
      </c>
      <c r="E380" s="496" t="s">
        <v>1609</v>
      </c>
      <c r="F380" s="505">
        <f>'MCS Budget - Detailed'!N452</f>
        <v>2</v>
      </c>
      <c r="G380" s="497" t="s">
        <v>448</v>
      </c>
    </row>
    <row r="381" spans="1:7" x14ac:dyDescent="0.2">
      <c r="A381" s="494" t="s">
        <v>2005</v>
      </c>
      <c r="B381" s="496" t="s">
        <v>40</v>
      </c>
      <c r="C381" s="496" t="s">
        <v>448</v>
      </c>
      <c r="D381" s="496" t="s">
        <v>1796</v>
      </c>
      <c r="E381" s="496" t="s">
        <v>1609</v>
      </c>
      <c r="F381" s="505">
        <f>'MCS Budget - Detailed'!N454</f>
        <v>148</v>
      </c>
      <c r="G381" s="497" t="s">
        <v>448</v>
      </c>
    </row>
    <row r="382" spans="1:7" x14ac:dyDescent="0.2">
      <c r="A382" s="494" t="s">
        <v>2005</v>
      </c>
      <c r="B382" s="496" t="s">
        <v>40</v>
      </c>
      <c r="C382" s="496" t="s">
        <v>448</v>
      </c>
      <c r="D382" s="496" t="s">
        <v>2616</v>
      </c>
      <c r="E382" s="496" t="s">
        <v>1609</v>
      </c>
      <c r="F382" s="505">
        <f>'MCS Budget - Detailed'!N455</f>
        <v>14</v>
      </c>
      <c r="G382" s="497" t="s">
        <v>448</v>
      </c>
    </row>
    <row r="383" spans="1:7" x14ac:dyDescent="0.2">
      <c r="A383" s="496" t="s">
        <v>2005</v>
      </c>
      <c r="B383" s="496" t="s">
        <v>40</v>
      </c>
      <c r="C383" s="496" t="s">
        <v>448</v>
      </c>
      <c r="D383" s="496" t="s">
        <v>1797</v>
      </c>
      <c r="E383" s="496" t="s">
        <v>1609</v>
      </c>
      <c r="F383" s="505">
        <f>'MCS Budget - Detailed'!N457</f>
        <v>2071</v>
      </c>
      <c r="G383" s="497" t="s">
        <v>448</v>
      </c>
    </row>
    <row r="384" spans="1:7" x14ac:dyDescent="0.2">
      <c r="A384" s="496" t="s">
        <v>2005</v>
      </c>
      <c r="B384" s="496" t="s">
        <v>40</v>
      </c>
      <c r="C384" s="496" t="s">
        <v>448</v>
      </c>
      <c r="D384" s="496" t="s">
        <v>2617</v>
      </c>
      <c r="E384" s="496" t="s">
        <v>1609</v>
      </c>
      <c r="F384" s="505">
        <f>'MCS Budget - Detailed'!N458</f>
        <v>204</v>
      </c>
      <c r="G384" s="497" t="s">
        <v>448</v>
      </c>
    </row>
    <row r="385" spans="1:7" x14ac:dyDescent="0.2">
      <c r="A385" s="494" t="s">
        <v>2005</v>
      </c>
      <c r="B385" s="496" t="s">
        <v>40</v>
      </c>
      <c r="C385" s="496" t="s">
        <v>448</v>
      </c>
      <c r="D385" s="496" t="s">
        <v>2618</v>
      </c>
      <c r="E385" s="496" t="s">
        <v>1609</v>
      </c>
      <c r="F385" s="505">
        <f>'MCS Budget - Detailed'!N460</f>
        <v>600</v>
      </c>
      <c r="G385" s="497" t="s">
        <v>448</v>
      </c>
    </row>
    <row r="386" spans="1:7" x14ac:dyDescent="0.2">
      <c r="A386" s="494" t="s">
        <v>2005</v>
      </c>
      <c r="B386" s="496" t="s">
        <v>40</v>
      </c>
      <c r="C386" s="496" t="s">
        <v>448</v>
      </c>
      <c r="D386" s="496" t="s">
        <v>1798</v>
      </c>
      <c r="E386" s="496" t="s">
        <v>1609</v>
      </c>
      <c r="F386" s="505">
        <f>'MCS Budget - Detailed'!N461</f>
        <v>500</v>
      </c>
      <c r="G386" s="497" t="s">
        <v>448</v>
      </c>
    </row>
    <row r="387" spans="1:7" x14ac:dyDescent="0.2">
      <c r="A387" s="494" t="s">
        <v>2005</v>
      </c>
      <c r="B387" s="496" t="s">
        <v>40</v>
      </c>
      <c r="C387" s="496" t="s">
        <v>448</v>
      </c>
      <c r="D387" s="496" t="s">
        <v>2619</v>
      </c>
      <c r="E387" s="496" t="s">
        <v>1609</v>
      </c>
      <c r="F387" s="505">
        <f>'MCS Budget - Detailed'!N462</f>
        <v>2530</v>
      </c>
      <c r="G387" s="497" t="s">
        <v>448</v>
      </c>
    </row>
    <row r="388" spans="1:7" x14ac:dyDescent="0.2">
      <c r="A388" s="494" t="s">
        <v>2005</v>
      </c>
      <c r="B388" s="496" t="s">
        <v>40</v>
      </c>
      <c r="C388" s="496" t="s">
        <v>448</v>
      </c>
      <c r="D388" s="496" t="s">
        <v>2079</v>
      </c>
      <c r="E388" s="496" t="s">
        <v>1609</v>
      </c>
      <c r="F388" s="505">
        <f>'MCS Budget - Detailed'!N463</f>
        <v>400</v>
      </c>
      <c r="G388" s="497" t="s">
        <v>448</v>
      </c>
    </row>
    <row r="389" spans="1:7" x14ac:dyDescent="0.2">
      <c r="A389" s="496" t="s">
        <v>2005</v>
      </c>
      <c r="B389" s="496" t="s">
        <v>40</v>
      </c>
      <c r="C389" s="496" t="s">
        <v>448</v>
      </c>
      <c r="D389" s="496" t="s">
        <v>1799</v>
      </c>
      <c r="E389" s="496" t="s">
        <v>1609</v>
      </c>
      <c r="F389" s="505">
        <f>'MCS Budget - Detailed'!N465</f>
        <v>500</v>
      </c>
      <c r="G389" s="497" t="s">
        <v>448</v>
      </c>
    </row>
    <row r="390" spans="1:7" x14ac:dyDescent="0.2">
      <c r="A390" s="494" t="s">
        <v>2005</v>
      </c>
      <c r="B390" s="496" t="s">
        <v>40</v>
      </c>
      <c r="C390" s="496" t="s">
        <v>448</v>
      </c>
      <c r="D390" s="496" t="s">
        <v>2080</v>
      </c>
      <c r="E390" s="496" t="s">
        <v>1609</v>
      </c>
      <c r="F390" s="505">
        <f>'MCS Budget - Detailed'!N467</f>
        <v>5168</v>
      </c>
      <c r="G390" s="497" t="s">
        <v>448</v>
      </c>
    </row>
    <row r="391" spans="1:7" x14ac:dyDescent="0.2">
      <c r="A391" s="494" t="s">
        <v>2005</v>
      </c>
      <c r="B391" s="496" t="s">
        <v>40</v>
      </c>
      <c r="C391" s="496" t="s">
        <v>448</v>
      </c>
      <c r="D391" s="496" t="s">
        <v>2081</v>
      </c>
      <c r="E391" s="496" t="s">
        <v>1609</v>
      </c>
      <c r="F391" s="505">
        <f>'MCS Budget - Detailed'!N468</f>
        <v>15</v>
      </c>
      <c r="G391" s="497" t="s">
        <v>448</v>
      </c>
    </row>
    <row r="392" spans="1:7" x14ac:dyDescent="0.2">
      <c r="A392" s="494" t="s">
        <v>2005</v>
      </c>
      <c r="B392" s="496" t="s">
        <v>40</v>
      </c>
      <c r="C392" s="496" t="s">
        <v>448</v>
      </c>
      <c r="D392" s="496" t="s">
        <v>2082</v>
      </c>
      <c r="E392" s="496" t="s">
        <v>1609</v>
      </c>
      <c r="F392" s="505">
        <f>'MCS Budget - Detailed'!N469</f>
        <v>75</v>
      </c>
      <c r="G392" s="497" t="s">
        <v>448</v>
      </c>
    </row>
    <row r="393" spans="1:7" x14ac:dyDescent="0.2">
      <c r="A393" s="494" t="s">
        <v>2005</v>
      </c>
      <c r="B393" s="496" t="s">
        <v>40</v>
      </c>
      <c r="C393" s="496" t="s">
        <v>448</v>
      </c>
      <c r="D393" s="496" t="s">
        <v>2083</v>
      </c>
      <c r="E393" s="496" t="s">
        <v>1609</v>
      </c>
      <c r="F393" s="505">
        <f>'MCS Budget - Detailed'!N470</f>
        <v>1042</v>
      </c>
      <c r="G393" s="497" t="s">
        <v>448</v>
      </c>
    </row>
    <row r="394" spans="1:7" x14ac:dyDescent="0.2">
      <c r="A394" s="494" t="s">
        <v>2005</v>
      </c>
      <c r="B394" s="496" t="s">
        <v>40</v>
      </c>
      <c r="C394" s="496" t="s">
        <v>448</v>
      </c>
      <c r="D394" s="496" t="s">
        <v>2084</v>
      </c>
      <c r="E394" s="496" t="s">
        <v>1609</v>
      </c>
      <c r="F394" s="505">
        <f>'MCS Budget - Detailed'!N471</f>
        <v>2544</v>
      </c>
      <c r="G394" s="497" t="s">
        <v>448</v>
      </c>
    </row>
    <row r="395" spans="1:7" x14ac:dyDescent="0.2">
      <c r="A395" s="494" t="s">
        <v>2005</v>
      </c>
      <c r="B395" s="496" t="s">
        <v>40</v>
      </c>
      <c r="C395" s="496" t="s">
        <v>448</v>
      </c>
      <c r="D395" s="496" t="s">
        <v>2674</v>
      </c>
      <c r="E395" s="496" t="s">
        <v>1609</v>
      </c>
      <c r="F395" s="505">
        <f>'MCS Budget - Detailed'!N473</f>
        <v>37822</v>
      </c>
      <c r="G395" s="497" t="s">
        <v>448</v>
      </c>
    </row>
    <row r="396" spans="1:7" x14ac:dyDescent="0.2">
      <c r="A396" s="494" t="s">
        <v>2005</v>
      </c>
      <c r="B396" s="496" t="s">
        <v>40</v>
      </c>
      <c r="C396" s="496" t="s">
        <v>448</v>
      </c>
      <c r="D396" s="496" t="s">
        <v>2624</v>
      </c>
      <c r="E396" s="496" t="s">
        <v>1609</v>
      </c>
      <c r="F396" s="505">
        <f>'MCS Budget - Detailed'!N474</f>
        <v>66</v>
      </c>
      <c r="G396" s="497" t="s">
        <v>448</v>
      </c>
    </row>
    <row r="397" spans="1:7" x14ac:dyDescent="0.2">
      <c r="A397" s="494" t="s">
        <v>2005</v>
      </c>
      <c r="B397" s="496" t="s">
        <v>40</v>
      </c>
      <c r="C397" s="496" t="s">
        <v>448</v>
      </c>
      <c r="D397" s="496" t="s">
        <v>2623</v>
      </c>
      <c r="E397" s="496" t="s">
        <v>1609</v>
      </c>
      <c r="F397" s="505">
        <f>'MCS Budget - Detailed'!N475</f>
        <v>114</v>
      </c>
      <c r="G397" s="497" t="s">
        <v>448</v>
      </c>
    </row>
    <row r="398" spans="1:7" x14ac:dyDescent="0.2">
      <c r="A398" s="494" t="s">
        <v>2005</v>
      </c>
      <c r="B398" s="496" t="s">
        <v>40</v>
      </c>
      <c r="C398" s="496" t="s">
        <v>448</v>
      </c>
      <c r="D398" s="496" t="s">
        <v>2622</v>
      </c>
      <c r="E398" s="496" t="s">
        <v>1609</v>
      </c>
      <c r="F398" s="505">
        <f>'MCS Budget - Detailed'!N476</f>
        <v>549</v>
      </c>
      <c r="G398" s="497" t="s">
        <v>448</v>
      </c>
    </row>
    <row r="399" spans="1:7" x14ac:dyDescent="0.2">
      <c r="A399" s="494" t="s">
        <v>2005</v>
      </c>
      <c r="B399" s="496" t="s">
        <v>40</v>
      </c>
      <c r="C399" s="496" t="s">
        <v>448</v>
      </c>
      <c r="D399" s="496" t="s">
        <v>2621</v>
      </c>
      <c r="E399" s="496" t="s">
        <v>1609</v>
      </c>
      <c r="F399" s="505">
        <f>'MCS Budget - Detailed'!N477</f>
        <v>7716</v>
      </c>
      <c r="G399" s="497" t="s">
        <v>448</v>
      </c>
    </row>
    <row r="400" spans="1:7" x14ac:dyDescent="0.2">
      <c r="A400" s="494" t="s">
        <v>2005</v>
      </c>
      <c r="B400" s="496" t="s">
        <v>40</v>
      </c>
      <c r="C400" s="496" t="s">
        <v>448</v>
      </c>
      <c r="D400" s="496" t="s">
        <v>2620</v>
      </c>
      <c r="E400" s="496" t="s">
        <v>1609</v>
      </c>
      <c r="F400" s="505">
        <f>'MCS Budget - Detailed'!N478</f>
        <v>6169</v>
      </c>
      <c r="G400" s="497" t="s">
        <v>448</v>
      </c>
    </row>
    <row r="401" spans="1:7" x14ac:dyDescent="0.2">
      <c r="A401" s="494" t="s">
        <v>2005</v>
      </c>
      <c r="B401" s="496" t="s">
        <v>40</v>
      </c>
      <c r="C401" s="496" t="s">
        <v>448</v>
      </c>
      <c r="D401" s="496" t="s">
        <v>2085</v>
      </c>
      <c r="E401" s="496" t="s">
        <v>1609</v>
      </c>
      <c r="F401" s="505">
        <f>'MCS Budget - Detailed'!N479+'MCS Budget - Detailed'!N480</f>
        <v>60300</v>
      </c>
      <c r="G401" s="497" t="s">
        <v>448</v>
      </c>
    </row>
    <row r="402" spans="1:7" x14ac:dyDescent="0.2">
      <c r="A402" s="494" t="s">
        <v>2005</v>
      </c>
      <c r="B402" s="496" t="s">
        <v>40</v>
      </c>
      <c r="C402" s="496" t="s">
        <v>448</v>
      </c>
      <c r="D402" s="496" t="s">
        <v>2626</v>
      </c>
      <c r="E402" s="496" t="s">
        <v>1609</v>
      </c>
      <c r="F402" s="505">
        <f>'MCS Budget - Detailed'!N481</f>
        <v>600</v>
      </c>
      <c r="G402" s="497" t="s">
        <v>448</v>
      </c>
    </row>
    <row r="403" spans="1:7" x14ac:dyDescent="0.2">
      <c r="A403" s="494" t="s">
        <v>2005</v>
      </c>
      <c r="B403" s="496" t="s">
        <v>40</v>
      </c>
      <c r="C403" s="496" t="s">
        <v>448</v>
      </c>
      <c r="D403" s="496" t="s">
        <v>2625</v>
      </c>
      <c r="E403" s="496" t="s">
        <v>1609</v>
      </c>
      <c r="F403" s="505">
        <f>'MCS Budget - Detailed'!N482</f>
        <v>10000</v>
      </c>
      <c r="G403" s="497" t="s">
        <v>448</v>
      </c>
    </row>
    <row r="404" spans="1:7" x14ac:dyDescent="0.2">
      <c r="A404" s="494" t="s">
        <v>2005</v>
      </c>
      <c r="B404" s="496" t="s">
        <v>40</v>
      </c>
      <c r="C404" s="496" t="s">
        <v>448</v>
      </c>
      <c r="D404" s="496" t="s">
        <v>2086</v>
      </c>
      <c r="E404" s="496" t="s">
        <v>1609</v>
      </c>
      <c r="F404" s="505">
        <f>'MCS Budget - Detailed'!N483</f>
        <v>1272</v>
      </c>
      <c r="G404" s="497" t="s">
        <v>448</v>
      </c>
    </row>
    <row r="405" spans="1:7" x14ac:dyDescent="0.2">
      <c r="A405" s="494" t="s">
        <v>2005</v>
      </c>
      <c r="B405" s="496" t="s">
        <v>40</v>
      </c>
      <c r="C405" s="496" t="s">
        <v>448</v>
      </c>
      <c r="D405" s="496" t="s">
        <v>2627</v>
      </c>
      <c r="E405" s="496" t="s">
        <v>1609</v>
      </c>
      <c r="F405" s="505">
        <f>'MCS Budget - Detailed'!N484</f>
        <v>20064</v>
      </c>
      <c r="G405" s="497" t="s">
        <v>448</v>
      </c>
    </row>
    <row r="406" spans="1:7" x14ac:dyDescent="0.2">
      <c r="A406" s="494" t="s">
        <v>2005</v>
      </c>
      <c r="B406" s="496" t="s">
        <v>40</v>
      </c>
      <c r="C406" s="496" t="s">
        <v>448</v>
      </c>
      <c r="D406" s="496" t="s">
        <v>2628</v>
      </c>
      <c r="E406" s="496" t="s">
        <v>1609</v>
      </c>
      <c r="F406" s="505">
        <f>'MCS Budget - Detailed'!N491</f>
        <v>12000</v>
      </c>
      <c r="G406" s="497" t="s">
        <v>448</v>
      </c>
    </row>
    <row r="407" spans="1:7" x14ac:dyDescent="0.2">
      <c r="A407" s="494" t="s">
        <v>2005</v>
      </c>
      <c r="B407" s="496" t="s">
        <v>40</v>
      </c>
      <c r="C407" s="496" t="s">
        <v>448</v>
      </c>
      <c r="D407" s="496" t="s">
        <v>1800</v>
      </c>
      <c r="E407" s="496" t="s">
        <v>1609</v>
      </c>
      <c r="F407" s="505">
        <f>'MCS Budget - Detailed'!N492</f>
        <v>1565</v>
      </c>
      <c r="G407" s="497" t="s">
        <v>448</v>
      </c>
    </row>
    <row r="408" spans="1:7" x14ac:dyDescent="0.2">
      <c r="A408" s="494" t="s">
        <v>2005</v>
      </c>
      <c r="B408" s="496" t="s">
        <v>40</v>
      </c>
      <c r="C408" s="496" t="s">
        <v>448</v>
      </c>
      <c r="D408" s="496" t="s">
        <v>2629</v>
      </c>
      <c r="E408" s="496" t="s">
        <v>1609</v>
      </c>
      <c r="F408" s="505">
        <f>'MCS Budget - Detailed'!N493</f>
        <v>3435</v>
      </c>
      <c r="G408" s="497" t="s">
        <v>448</v>
      </c>
    </row>
    <row r="409" spans="1:7" x14ac:dyDescent="0.2">
      <c r="A409" s="496" t="s">
        <v>2005</v>
      </c>
      <c r="B409" s="496" t="s">
        <v>40</v>
      </c>
      <c r="C409" s="496" t="s">
        <v>448</v>
      </c>
      <c r="D409" s="496" t="s">
        <v>1801</v>
      </c>
      <c r="E409" s="496" t="s">
        <v>1609</v>
      </c>
      <c r="F409" s="505">
        <f>'MCS Budget - Detailed'!N495</f>
        <v>5000</v>
      </c>
      <c r="G409" s="497" t="s">
        <v>448</v>
      </c>
    </row>
    <row r="410" spans="1:7" x14ac:dyDescent="0.2">
      <c r="A410" s="494" t="s">
        <v>2005</v>
      </c>
      <c r="B410" s="496" t="s">
        <v>40</v>
      </c>
      <c r="C410" s="496" t="s">
        <v>448</v>
      </c>
      <c r="D410" s="496" t="s">
        <v>2087</v>
      </c>
      <c r="E410" s="496" t="s">
        <v>1609</v>
      </c>
      <c r="F410" s="505">
        <f>'MCS Budget - Detailed'!N497</f>
        <v>15</v>
      </c>
      <c r="G410" s="497" t="s">
        <v>448</v>
      </c>
    </row>
    <row r="411" spans="1:7" x14ac:dyDescent="0.2">
      <c r="A411" s="496" t="s">
        <v>2005</v>
      </c>
      <c r="B411" s="496" t="s">
        <v>40</v>
      </c>
      <c r="C411" s="496" t="s">
        <v>448</v>
      </c>
      <c r="D411" s="496" t="s">
        <v>1802</v>
      </c>
      <c r="E411" s="496" t="s">
        <v>1609</v>
      </c>
      <c r="F411" s="505">
        <f>'MCS Budget - Detailed'!N498</f>
        <v>73</v>
      </c>
      <c r="G411" s="497" t="s">
        <v>448</v>
      </c>
    </row>
    <row r="412" spans="1:7" x14ac:dyDescent="0.2">
      <c r="A412" s="494" t="s">
        <v>2005</v>
      </c>
      <c r="B412" s="496" t="s">
        <v>40</v>
      </c>
      <c r="C412" s="496" t="s">
        <v>448</v>
      </c>
      <c r="D412" s="496" t="s">
        <v>1803</v>
      </c>
      <c r="E412" s="496" t="s">
        <v>1609</v>
      </c>
      <c r="F412" s="505">
        <f>'MCS Budget - Detailed'!N499</f>
        <v>1020</v>
      </c>
      <c r="G412" s="497" t="s">
        <v>448</v>
      </c>
    </row>
    <row r="413" spans="1:7" x14ac:dyDescent="0.2">
      <c r="A413" s="494" t="s">
        <v>2005</v>
      </c>
      <c r="B413" s="496" t="s">
        <v>40</v>
      </c>
      <c r="C413" s="496" t="s">
        <v>448</v>
      </c>
      <c r="D413" s="496" t="s">
        <v>2630</v>
      </c>
      <c r="E413" s="496" t="s">
        <v>1609</v>
      </c>
      <c r="F413" s="505">
        <f>'MCS Budget - Detailed'!N501</f>
        <v>132</v>
      </c>
      <c r="G413" s="497" t="s">
        <v>448</v>
      </c>
    </row>
    <row r="414" spans="1:7" x14ac:dyDescent="0.2">
      <c r="A414" s="496" t="s">
        <v>2005</v>
      </c>
      <c r="B414" s="496" t="s">
        <v>40</v>
      </c>
      <c r="C414" s="496" t="s">
        <v>448</v>
      </c>
      <c r="D414" s="496" t="s">
        <v>1804</v>
      </c>
      <c r="E414" s="496" t="s">
        <v>1609</v>
      </c>
      <c r="F414" s="505">
        <f>'MCS Budget - Detailed'!N503</f>
        <v>65200</v>
      </c>
      <c r="G414" s="497" t="s">
        <v>448</v>
      </c>
    </row>
    <row r="415" spans="1:7" x14ac:dyDescent="0.2">
      <c r="A415" s="494" t="s">
        <v>2005</v>
      </c>
      <c r="B415" s="496" t="s">
        <v>40</v>
      </c>
      <c r="C415" s="496" t="s">
        <v>448</v>
      </c>
      <c r="D415" s="496" t="s">
        <v>2088</v>
      </c>
      <c r="E415" s="496" t="s">
        <v>1609</v>
      </c>
      <c r="F415" s="505">
        <f>'MCS Budget - Detailed'!N504</f>
        <v>4601</v>
      </c>
      <c r="G415" s="497" t="s">
        <v>448</v>
      </c>
    </row>
    <row r="416" spans="1:7" x14ac:dyDescent="0.2">
      <c r="A416" s="494" t="s">
        <v>2005</v>
      </c>
      <c r="B416" s="496" t="s">
        <v>40</v>
      </c>
      <c r="C416" s="496" t="s">
        <v>448</v>
      </c>
      <c r="D416" s="496" t="s">
        <v>1805</v>
      </c>
      <c r="E416" s="496" t="s">
        <v>1609</v>
      </c>
      <c r="F416" s="505">
        <f>'MCS Budget - Detailed'!N505</f>
        <v>29000</v>
      </c>
      <c r="G416" s="497" t="s">
        <v>448</v>
      </c>
    </row>
    <row r="417" spans="1:7" x14ac:dyDescent="0.2">
      <c r="A417" s="496" t="s">
        <v>2005</v>
      </c>
      <c r="B417" s="496" t="s">
        <v>40</v>
      </c>
      <c r="C417" s="496" t="s">
        <v>448</v>
      </c>
      <c r="D417" s="496" t="s">
        <v>2089</v>
      </c>
      <c r="E417" s="496" t="s">
        <v>1609</v>
      </c>
      <c r="F417" s="505">
        <f>'MCS Budget - Detailed'!N506</f>
        <v>3000</v>
      </c>
      <c r="G417" s="497" t="s">
        <v>448</v>
      </c>
    </row>
    <row r="418" spans="1:7" x14ac:dyDescent="0.2">
      <c r="A418" s="494" t="s">
        <v>2005</v>
      </c>
      <c r="B418" s="496" t="s">
        <v>40</v>
      </c>
      <c r="C418" s="496" t="s">
        <v>448</v>
      </c>
      <c r="D418" s="496" t="s">
        <v>1806</v>
      </c>
      <c r="E418" s="496" t="s">
        <v>1609</v>
      </c>
      <c r="F418" s="505">
        <f>'MCS Budget - Detailed'!N507</f>
        <v>66</v>
      </c>
      <c r="G418" s="497" t="s">
        <v>448</v>
      </c>
    </row>
    <row r="419" spans="1:7" x14ac:dyDescent="0.2">
      <c r="A419" s="494" t="s">
        <v>2005</v>
      </c>
      <c r="B419" s="496" t="s">
        <v>40</v>
      </c>
      <c r="C419" s="496" t="s">
        <v>448</v>
      </c>
      <c r="D419" s="496" t="s">
        <v>2090</v>
      </c>
      <c r="E419" s="496" t="s">
        <v>1609</v>
      </c>
      <c r="F419" s="505">
        <f>'MCS Budget - Detailed'!N508</f>
        <v>14</v>
      </c>
      <c r="G419" s="497" t="s">
        <v>448</v>
      </c>
    </row>
    <row r="420" spans="1:7" x14ac:dyDescent="0.2">
      <c r="A420" s="496" t="s">
        <v>2005</v>
      </c>
      <c r="B420" s="496" t="s">
        <v>40</v>
      </c>
      <c r="C420" s="496" t="s">
        <v>448</v>
      </c>
      <c r="D420" s="496" t="s">
        <v>1807</v>
      </c>
      <c r="E420" s="496" t="s">
        <v>1609</v>
      </c>
      <c r="F420" s="505">
        <f>'MCS Budget - Detailed'!N509</f>
        <v>66</v>
      </c>
      <c r="G420" s="497" t="s">
        <v>448</v>
      </c>
    </row>
    <row r="421" spans="1:7" x14ac:dyDescent="0.2">
      <c r="A421" s="494" t="s">
        <v>2005</v>
      </c>
      <c r="B421" s="496" t="s">
        <v>40</v>
      </c>
      <c r="C421" s="496" t="s">
        <v>448</v>
      </c>
      <c r="D421" s="496" t="s">
        <v>1808</v>
      </c>
      <c r="E421" s="496" t="s">
        <v>1609</v>
      </c>
      <c r="F421" s="505">
        <f>'MCS Budget - Detailed'!N510</f>
        <v>208</v>
      </c>
      <c r="G421" s="497" t="s">
        <v>448</v>
      </c>
    </row>
    <row r="422" spans="1:7" x14ac:dyDescent="0.2">
      <c r="A422" s="494" t="s">
        <v>2005</v>
      </c>
      <c r="B422" s="496" t="s">
        <v>40</v>
      </c>
      <c r="C422" s="496" t="s">
        <v>448</v>
      </c>
      <c r="D422" s="496" t="s">
        <v>2091</v>
      </c>
      <c r="E422" s="496" t="s">
        <v>1609</v>
      </c>
      <c r="F422" s="505">
        <f>'MCS Budget - Detailed'!N511</f>
        <v>12</v>
      </c>
      <c r="G422" s="497" t="s">
        <v>448</v>
      </c>
    </row>
    <row r="423" spans="1:7" x14ac:dyDescent="0.2">
      <c r="A423" s="496" t="s">
        <v>2005</v>
      </c>
      <c r="B423" s="496" t="s">
        <v>40</v>
      </c>
      <c r="C423" s="496" t="s">
        <v>448</v>
      </c>
      <c r="D423" s="496" t="s">
        <v>1809</v>
      </c>
      <c r="E423" s="496" t="s">
        <v>1609</v>
      </c>
      <c r="F423" s="505">
        <f>'MCS Budget - Detailed'!N512</f>
        <v>87</v>
      </c>
      <c r="G423" s="497" t="s">
        <v>448</v>
      </c>
    </row>
    <row r="424" spans="1:7" x14ac:dyDescent="0.2">
      <c r="A424" s="494" t="s">
        <v>2005</v>
      </c>
      <c r="B424" s="496" t="s">
        <v>40</v>
      </c>
      <c r="C424" s="496" t="s">
        <v>448</v>
      </c>
      <c r="D424" s="496" t="s">
        <v>1810</v>
      </c>
      <c r="E424" s="496" t="s">
        <v>1609</v>
      </c>
      <c r="F424" s="505">
        <f>'MCS Budget - Detailed'!N513</f>
        <v>1004</v>
      </c>
      <c r="G424" s="497" t="s">
        <v>448</v>
      </c>
    </row>
    <row r="425" spans="1:7" x14ac:dyDescent="0.2">
      <c r="A425" s="494" t="s">
        <v>2005</v>
      </c>
      <c r="B425" s="496" t="s">
        <v>40</v>
      </c>
      <c r="C425" s="496" t="s">
        <v>448</v>
      </c>
      <c r="D425" s="496" t="s">
        <v>2092</v>
      </c>
      <c r="E425" s="496" t="s">
        <v>1609</v>
      </c>
      <c r="F425" s="505">
        <f>'MCS Budget - Detailed'!N514</f>
        <v>67</v>
      </c>
      <c r="G425" s="497" t="s">
        <v>448</v>
      </c>
    </row>
    <row r="426" spans="1:7" x14ac:dyDescent="0.2">
      <c r="A426" s="496" t="s">
        <v>2005</v>
      </c>
      <c r="B426" s="496" t="s">
        <v>40</v>
      </c>
      <c r="C426" s="496" t="s">
        <v>448</v>
      </c>
      <c r="D426" s="496" t="s">
        <v>1811</v>
      </c>
      <c r="E426" s="496" t="s">
        <v>1609</v>
      </c>
      <c r="F426" s="505">
        <f>'MCS Budget - Detailed'!N515</f>
        <v>421</v>
      </c>
      <c r="G426" s="497" t="s">
        <v>448</v>
      </c>
    </row>
    <row r="427" spans="1:7" x14ac:dyDescent="0.2">
      <c r="A427" s="494" t="s">
        <v>2005</v>
      </c>
      <c r="B427" s="496" t="s">
        <v>40</v>
      </c>
      <c r="C427" s="496" t="s">
        <v>448</v>
      </c>
      <c r="D427" s="496" t="s">
        <v>1812</v>
      </c>
      <c r="E427" s="496" t="s">
        <v>1609</v>
      </c>
      <c r="F427" s="505">
        <f>'MCS Budget - Detailed'!N516</f>
        <v>14117</v>
      </c>
      <c r="G427" s="497" t="s">
        <v>448</v>
      </c>
    </row>
    <row r="428" spans="1:7" x14ac:dyDescent="0.2">
      <c r="A428" s="494" t="s">
        <v>2005</v>
      </c>
      <c r="B428" s="496" t="s">
        <v>40</v>
      </c>
      <c r="C428" s="496" t="s">
        <v>448</v>
      </c>
      <c r="D428" s="496" t="s">
        <v>2093</v>
      </c>
      <c r="E428" s="496" t="s">
        <v>1609</v>
      </c>
      <c r="F428" s="505">
        <f>'MCS Budget - Detailed'!N517</f>
        <v>939</v>
      </c>
      <c r="G428" s="497" t="s">
        <v>448</v>
      </c>
    </row>
    <row r="429" spans="1:7" x14ac:dyDescent="0.2">
      <c r="A429" s="496" t="s">
        <v>2005</v>
      </c>
      <c r="B429" s="496" t="s">
        <v>40</v>
      </c>
      <c r="C429" s="496" t="s">
        <v>448</v>
      </c>
      <c r="D429" s="496" t="s">
        <v>1813</v>
      </c>
      <c r="E429" s="496" t="s">
        <v>1609</v>
      </c>
      <c r="F429" s="505">
        <f>'MCS Budget - Detailed'!N518</f>
        <v>5916</v>
      </c>
      <c r="G429" s="497" t="s">
        <v>448</v>
      </c>
    </row>
    <row r="430" spans="1:7" x14ac:dyDescent="0.2">
      <c r="A430" s="494" t="s">
        <v>2005</v>
      </c>
      <c r="B430" s="496" t="s">
        <v>40</v>
      </c>
      <c r="C430" s="496" t="s">
        <v>448</v>
      </c>
      <c r="D430" s="496" t="s">
        <v>1814</v>
      </c>
      <c r="E430" s="496" t="s">
        <v>1609</v>
      </c>
      <c r="F430" s="505">
        <f>'MCS Budget - Detailed'!N519</f>
        <v>6132</v>
      </c>
      <c r="G430" s="497" t="s">
        <v>448</v>
      </c>
    </row>
    <row r="431" spans="1:7" x14ac:dyDescent="0.2">
      <c r="A431" s="494" t="s">
        <v>2005</v>
      </c>
      <c r="B431" s="496" t="s">
        <v>40</v>
      </c>
      <c r="C431" s="496" t="s">
        <v>448</v>
      </c>
      <c r="D431" s="496" t="s">
        <v>2094</v>
      </c>
      <c r="E431" s="496" t="s">
        <v>1609</v>
      </c>
      <c r="F431" s="505">
        <f>'MCS Budget - Detailed'!N520</f>
        <v>1227</v>
      </c>
      <c r="G431" s="497" t="s">
        <v>448</v>
      </c>
    </row>
    <row r="432" spans="1:7" x14ac:dyDescent="0.2">
      <c r="A432" s="496" t="s">
        <v>2005</v>
      </c>
      <c r="B432" s="496" t="s">
        <v>40</v>
      </c>
      <c r="C432" s="496" t="s">
        <v>448</v>
      </c>
      <c r="D432" s="496" t="s">
        <v>1815</v>
      </c>
      <c r="E432" s="496" t="s">
        <v>1609</v>
      </c>
      <c r="F432" s="505">
        <f>'MCS Budget - Detailed'!N521</f>
        <v>6132</v>
      </c>
      <c r="G432" s="497" t="s">
        <v>448</v>
      </c>
    </row>
    <row r="433" spans="1:7" x14ac:dyDescent="0.2">
      <c r="A433" s="496" t="s">
        <v>2005</v>
      </c>
      <c r="B433" s="496" t="s">
        <v>40</v>
      </c>
      <c r="C433" s="496" t="s">
        <v>448</v>
      </c>
      <c r="D433" s="496" t="s">
        <v>2632</v>
      </c>
      <c r="E433" s="496" t="s">
        <v>1609</v>
      </c>
      <c r="F433" s="505">
        <f>'MCS Budget - Detailed'!N522</f>
        <v>1956</v>
      </c>
      <c r="G433" s="497" t="s">
        <v>448</v>
      </c>
    </row>
    <row r="434" spans="1:7" x14ac:dyDescent="0.2">
      <c r="A434" s="496" t="s">
        <v>2005</v>
      </c>
      <c r="B434" s="496" t="s">
        <v>40</v>
      </c>
      <c r="C434" s="496" t="s">
        <v>448</v>
      </c>
      <c r="D434" s="496" t="s">
        <v>2633</v>
      </c>
      <c r="E434" s="496" t="s">
        <v>1609</v>
      </c>
      <c r="F434" s="505">
        <f>'MCS Budget - Detailed'!N523</f>
        <v>138</v>
      </c>
      <c r="G434" s="497" t="s">
        <v>448</v>
      </c>
    </row>
    <row r="435" spans="1:7" x14ac:dyDescent="0.2">
      <c r="A435" s="496" t="s">
        <v>2005</v>
      </c>
      <c r="B435" s="496" t="s">
        <v>40</v>
      </c>
      <c r="C435" s="496" t="s">
        <v>448</v>
      </c>
      <c r="D435" s="496" t="s">
        <v>2631</v>
      </c>
      <c r="E435" s="496" t="s">
        <v>1609</v>
      </c>
      <c r="F435" s="505">
        <f>'MCS Budget - Detailed'!N524</f>
        <v>870</v>
      </c>
      <c r="G435" s="497" t="s">
        <v>448</v>
      </c>
    </row>
    <row r="436" spans="1:7" x14ac:dyDescent="0.2">
      <c r="A436" s="496" t="s">
        <v>2005</v>
      </c>
      <c r="B436" s="496" t="s">
        <v>40</v>
      </c>
      <c r="C436" s="496" t="s">
        <v>448</v>
      </c>
      <c r="D436" s="496" t="s">
        <v>1816</v>
      </c>
      <c r="E436" s="496" t="s">
        <v>1609</v>
      </c>
      <c r="F436" s="505">
        <f>'MCS Budget - Detailed'!N525</f>
        <v>5000</v>
      </c>
      <c r="G436" s="497" t="s">
        <v>448</v>
      </c>
    </row>
    <row r="437" spans="1:7" x14ac:dyDescent="0.2">
      <c r="A437" s="496" t="s">
        <v>2005</v>
      </c>
      <c r="B437" s="496" t="s">
        <v>40</v>
      </c>
      <c r="C437" s="496" t="s">
        <v>448</v>
      </c>
      <c r="D437" s="496" t="s">
        <v>2634</v>
      </c>
      <c r="E437" s="496" t="s">
        <v>1609</v>
      </c>
      <c r="F437" s="505">
        <f>'MCS Budget - Detailed'!N526</f>
        <v>6500</v>
      </c>
      <c r="G437" s="497" t="s">
        <v>448</v>
      </c>
    </row>
    <row r="438" spans="1:7" x14ac:dyDescent="0.2">
      <c r="A438" s="496" t="s">
        <v>2005</v>
      </c>
      <c r="B438" s="496" t="s">
        <v>40</v>
      </c>
      <c r="C438" s="496" t="s">
        <v>448</v>
      </c>
      <c r="D438" s="496" t="s">
        <v>1817</v>
      </c>
      <c r="E438" s="496" t="s">
        <v>1609</v>
      </c>
      <c r="F438" s="505">
        <f>'MCS Budget - Detailed'!N527</f>
        <v>3000</v>
      </c>
      <c r="G438" s="497" t="s">
        <v>448</v>
      </c>
    </row>
    <row r="439" spans="1:7" x14ac:dyDescent="0.2">
      <c r="A439" s="494" t="s">
        <v>2005</v>
      </c>
      <c r="B439" s="496" t="s">
        <v>40</v>
      </c>
      <c r="C439" s="496" t="s">
        <v>448</v>
      </c>
      <c r="D439" s="496" t="s">
        <v>1818</v>
      </c>
      <c r="E439" s="496" t="s">
        <v>1609</v>
      </c>
      <c r="F439" s="505">
        <f>'MCS Budget - Detailed'!N528</f>
        <v>1000</v>
      </c>
      <c r="G439" s="497" t="s">
        <v>448</v>
      </c>
    </row>
    <row r="440" spans="1:7" x14ac:dyDescent="0.2">
      <c r="A440" s="496" t="s">
        <v>2005</v>
      </c>
      <c r="B440" s="496" t="s">
        <v>40</v>
      </c>
      <c r="C440" s="496" t="s">
        <v>448</v>
      </c>
      <c r="D440" s="496" t="s">
        <v>1819</v>
      </c>
      <c r="E440" s="496" t="s">
        <v>1609</v>
      </c>
      <c r="F440" s="505">
        <f>'MCS Budget - Detailed'!N529</f>
        <v>1500</v>
      </c>
      <c r="G440" s="497" t="s">
        <v>1756</v>
      </c>
    </row>
    <row r="441" spans="1:7" x14ac:dyDescent="0.2">
      <c r="A441" s="494" t="s">
        <v>2005</v>
      </c>
      <c r="B441" s="496" t="s">
        <v>40</v>
      </c>
      <c r="C441" s="496" t="s">
        <v>448</v>
      </c>
      <c r="D441" s="496" t="s">
        <v>1820</v>
      </c>
      <c r="E441" s="496" t="s">
        <v>1609</v>
      </c>
      <c r="F441" s="505">
        <f>'MCS Budget - Detailed'!N530</f>
        <v>5000</v>
      </c>
      <c r="G441" s="497" t="s">
        <v>448</v>
      </c>
    </row>
    <row r="442" spans="1:7" x14ac:dyDescent="0.2">
      <c r="A442" s="496" t="s">
        <v>2005</v>
      </c>
      <c r="B442" s="496" t="s">
        <v>40</v>
      </c>
      <c r="C442" s="496" t="s">
        <v>448</v>
      </c>
      <c r="D442" s="496" t="s">
        <v>1821</v>
      </c>
      <c r="E442" s="496" t="s">
        <v>1609</v>
      </c>
      <c r="F442" s="505">
        <f>'MCS Budget - Detailed'!N532</f>
        <v>2000</v>
      </c>
      <c r="G442" s="497" t="s">
        <v>448</v>
      </c>
    </row>
    <row r="443" spans="1:7" x14ac:dyDescent="0.2">
      <c r="A443" s="494" t="s">
        <v>2005</v>
      </c>
      <c r="B443" s="496" t="s">
        <v>40</v>
      </c>
      <c r="C443" s="496" t="s">
        <v>448</v>
      </c>
      <c r="D443" s="496" t="s">
        <v>1822</v>
      </c>
      <c r="E443" s="496" t="s">
        <v>1609</v>
      </c>
      <c r="F443" s="505">
        <f>'MCS Budget - Detailed'!N534</f>
        <v>600</v>
      </c>
      <c r="G443" s="497" t="s">
        <v>448</v>
      </c>
    </row>
    <row r="444" spans="1:7" x14ac:dyDescent="0.2">
      <c r="A444" s="496" t="s">
        <v>2005</v>
      </c>
      <c r="B444" s="496" t="s">
        <v>40</v>
      </c>
      <c r="C444" s="496" t="s">
        <v>448</v>
      </c>
      <c r="D444" s="496" t="s">
        <v>2095</v>
      </c>
      <c r="E444" s="496" t="s">
        <v>1609</v>
      </c>
      <c r="F444" s="505">
        <f>'MCS Budget - Detailed'!N537</f>
        <v>1087</v>
      </c>
      <c r="G444" s="497" t="s">
        <v>448</v>
      </c>
    </row>
    <row r="445" spans="1:7" x14ac:dyDescent="0.2">
      <c r="A445" s="496" t="s">
        <v>2005</v>
      </c>
      <c r="B445" s="496" t="s">
        <v>40</v>
      </c>
      <c r="C445" s="496" t="s">
        <v>448</v>
      </c>
      <c r="D445" s="496" t="s">
        <v>2096</v>
      </c>
      <c r="E445" s="496" t="s">
        <v>1609</v>
      </c>
      <c r="F445" s="505">
        <f>'MCS Budget - Detailed'!N538</f>
        <v>4239</v>
      </c>
      <c r="G445" s="497" t="s">
        <v>448</v>
      </c>
    </row>
    <row r="446" spans="1:7" x14ac:dyDescent="0.2">
      <c r="A446" s="496" t="s">
        <v>2005</v>
      </c>
      <c r="B446" s="496" t="s">
        <v>40</v>
      </c>
      <c r="C446" s="496" t="s">
        <v>448</v>
      </c>
      <c r="D446" s="496" t="s">
        <v>1823</v>
      </c>
      <c r="E446" s="496" t="s">
        <v>1609</v>
      </c>
      <c r="F446" s="505">
        <f>'MCS Budget - Detailed'!N540</f>
        <v>8910</v>
      </c>
      <c r="G446" s="497" t="s">
        <v>448</v>
      </c>
    </row>
    <row r="447" spans="1:7" x14ac:dyDescent="0.2">
      <c r="A447" s="496" t="s">
        <v>2005</v>
      </c>
      <c r="B447" s="496" t="s">
        <v>40</v>
      </c>
      <c r="C447" s="496" t="s">
        <v>448</v>
      </c>
      <c r="D447" s="496" t="s">
        <v>1824</v>
      </c>
      <c r="E447" s="496" t="s">
        <v>1609</v>
      </c>
      <c r="F447" s="505">
        <f>'MCS Budget - Detailed'!N542</f>
        <v>13</v>
      </c>
      <c r="G447" s="497" t="s">
        <v>448</v>
      </c>
    </row>
    <row r="448" spans="1:7" x14ac:dyDescent="0.2">
      <c r="A448" s="494" t="s">
        <v>2005</v>
      </c>
      <c r="B448" s="496" t="s">
        <v>40</v>
      </c>
      <c r="C448" s="496" t="s">
        <v>448</v>
      </c>
      <c r="D448" s="496" t="s">
        <v>1825</v>
      </c>
      <c r="E448" s="496" t="s">
        <v>1609</v>
      </c>
      <c r="F448" s="505">
        <f>'MCS Budget - Detailed'!N543</f>
        <v>27</v>
      </c>
      <c r="G448" s="497" t="s">
        <v>448</v>
      </c>
    </row>
    <row r="449" spans="1:7" x14ac:dyDescent="0.2">
      <c r="A449" s="496" t="s">
        <v>2005</v>
      </c>
      <c r="B449" s="496" t="s">
        <v>40</v>
      </c>
      <c r="C449" s="496" t="s">
        <v>448</v>
      </c>
      <c r="D449" s="496" t="s">
        <v>1826</v>
      </c>
      <c r="E449" s="496" t="s">
        <v>1609</v>
      </c>
      <c r="F449" s="505">
        <f>'MCS Budget - Detailed'!N545</f>
        <v>130</v>
      </c>
      <c r="G449" s="497" t="s">
        <v>448</v>
      </c>
    </row>
    <row r="450" spans="1:7" x14ac:dyDescent="0.2">
      <c r="A450" s="494" t="s">
        <v>2005</v>
      </c>
      <c r="B450" s="496" t="s">
        <v>40</v>
      </c>
      <c r="C450" s="496" t="s">
        <v>448</v>
      </c>
      <c r="D450" s="496" t="s">
        <v>1827</v>
      </c>
      <c r="E450" s="496" t="s">
        <v>1609</v>
      </c>
      <c r="F450" s="505">
        <f>'MCS Budget - Detailed'!N547</f>
        <v>1818</v>
      </c>
      <c r="G450" s="497" t="s">
        <v>448</v>
      </c>
    </row>
    <row r="451" spans="1:7" x14ac:dyDescent="0.2">
      <c r="A451" s="496" t="s">
        <v>2005</v>
      </c>
      <c r="B451" s="496" t="s">
        <v>40</v>
      </c>
      <c r="C451" s="496" t="s">
        <v>448</v>
      </c>
      <c r="D451" s="496" t="s">
        <v>1828</v>
      </c>
      <c r="E451" s="496" t="s">
        <v>1609</v>
      </c>
      <c r="F451" s="505">
        <f>'MCS Budget - Detailed'!N549</f>
        <v>1157</v>
      </c>
      <c r="G451" s="497" t="s">
        <v>448</v>
      </c>
    </row>
    <row r="452" spans="1:7" x14ac:dyDescent="0.2">
      <c r="A452" s="496" t="s">
        <v>2005</v>
      </c>
      <c r="B452" s="496" t="s">
        <v>40</v>
      </c>
      <c r="C452" s="496" t="s">
        <v>448</v>
      </c>
      <c r="D452" s="496" t="s">
        <v>2635</v>
      </c>
      <c r="E452" s="496" t="s">
        <v>1609</v>
      </c>
      <c r="F452" s="505">
        <f>'MCS Budget - Detailed'!N550</f>
        <v>267</v>
      </c>
      <c r="G452" s="497" t="s">
        <v>448</v>
      </c>
    </row>
    <row r="453" spans="1:7" x14ac:dyDescent="0.2">
      <c r="A453" s="496" t="s">
        <v>2005</v>
      </c>
      <c r="B453" s="496" t="s">
        <v>40</v>
      </c>
      <c r="C453" s="496" t="s">
        <v>448</v>
      </c>
      <c r="D453" s="496" t="s">
        <v>2691</v>
      </c>
      <c r="E453" s="496" t="s">
        <v>1609</v>
      </c>
      <c r="F453" s="505">
        <f>'MCS Budget - Detailed'!N551</f>
        <v>1200</v>
      </c>
      <c r="G453" s="497" t="s">
        <v>448</v>
      </c>
    </row>
    <row r="454" spans="1:7" x14ac:dyDescent="0.2">
      <c r="A454" s="494" t="s">
        <v>2005</v>
      </c>
      <c r="B454" s="496" t="s">
        <v>40</v>
      </c>
      <c r="C454" s="496" t="s">
        <v>448</v>
      </c>
      <c r="D454" s="496" t="s">
        <v>1829</v>
      </c>
      <c r="E454" s="496" t="s">
        <v>1609</v>
      </c>
      <c r="F454" s="505">
        <f>'MCS Budget - Detailed'!N552</f>
        <v>300</v>
      </c>
      <c r="G454" s="497" t="s">
        <v>448</v>
      </c>
    </row>
    <row r="455" spans="1:7" x14ac:dyDescent="0.2">
      <c r="A455" s="494" t="s">
        <v>2005</v>
      </c>
      <c r="B455" s="496" t="s">
        <v>40</v>
      </c>
      <c r="C455" s="496" t="s">
        <v>448</v>
      </c>
      <c r="D455" s="496" t="s">
        <v>2097</v>
      </c>
      <c r="E455" s="496" t="s">
        <v>1609</v>
      </c>
      <c r="F455" s="505">
        <f>'MCS Budget - Detailed'!N553</f>
        <v>13285</v>
      </c>
      <c r="G455" s="497" t="s">
        <v>448</v>
      </c>
    </row>
    <row r="456" spans="1:7" x14ac:dyDescent="0.2">
      <c r="A456" s="496" t="s">
        <v>2005</v>
      </c>
      <c r="B456" s="496" t="s">
        <v>40</v>
      </c>
      <c r="C456" s="496" t="s">
        <v>448</v>
      </c>
      <c r="D456" s="496" t="s">
        <v>1830</v>
      </c>
      <c r="E456" s="496" t="s">
        <v>1609</v>
      </c>
      <c r="F456" s="505">
        <f>'MCS Budget - Detailed'!N554</f>
        <v>8500</v>
      </c>
      <c r="G456" s="497" t="s">
        <v>448</v>
      </c>
    </row>
    <row r="457" spans="1:7" x14ac:dyDescent="0.2">
      <c r="A457" s="496" t="s">
        <v>2005</v>
      </c>
      <c r="B457" s="496" t="s">
        <v>40</v>
      </c>
      <c r="C457" s="496" t="s">
        <v>448</v>
      </c>
      <c r="D457" s="496" t="s">
        <v>2098</v>
      </c>
      <c r="E457" s="496" t="s">
        <v>1609</v>
      </c>
      <c r="F457" s="505">
        <f>'MCS Budget - Detailed'!N555</f>
        <v>7552</v>
      </c>
      <c r="G457" s="497" t="s">
        <v>448</v>
      </c>
    </row>
    <row r="458" spans="1:7" x14ac:dyDescent="0.2">
      <c r="A458" s="496" t="s">
        <v>2005</v>
      </c>
      <c r="B458" s="496" t="s">
        <v>40</v>
      </c>
      <c r="C458" s="496" t="s">
        <v>448</v>
      </c>
      <c r="D458" s="496" t="s">
        <v>2099</v>
      </c>
      <c r="E458" s="496" t="s">
        <v>1609</v>
      </c>
      <c r="F458" s="505">
        <f>'MCS Budget - Detailed'!N558</f>
        <v>59265</v>
      </c>
      <c r="G458" s="497" t="s">
        <v>448</v>
      </c>
    </row>
    <row r="459" spans="1:7" x14ac:dyDescent="0.2">
      <c r="A459" s="496" t="s">
        <v>2005</v>
      </c>
      <c r="B459" s="496" t="s">
        <v>40</v>
      </c>
      <c r="C459" s="496" t="s">
        <v>448</v>
      </c>
      <c r="D459" s="496" t="s">
        <v>2636</v>
      </c>
      <c r="E459" s="496" t="s">
        <v>1609</v>
      </c>
      <c r="F459" s="505">
        <f>'MCS Budget - Detailed'!N559</f>
        <v>100</v>
      </c>
      <c r="G459" s="497" t="s">
        <v>448</v>
      </c>
    </row>
    <row r="460" spans="1:7" x14ac:dyDescent="0.2">
      <c r="A460" s="496" t="s">
        <v>2005</v>
      </c>
      <c r="B460" s="496" t="s">
        <v>40</v>
      </c>
      <c r="C460" s="496" t="s">
        <v>448</v>
      </c>
      <c r="D460" s="496" t="s">
        <v>2100</v>
      </c>
      <c r="E460" s="496" t="s">
        <v>1609</v>
      </c>
      <c r="F460" s="505">
        <f>'MCS Budget - Detailed'!N560</f>
        <v>9984</v>
      </c>
      <c r="G460" s="497" t="s">
        <v>448</v>
      </c>
    </row>
    <row r="461" spans="1:7" x14ac:dyDescent="0.2">
      <c r="A461" s="496" t="s">
        <v>2005</v>
      </c>
      <c r="B461" s="496" t="s">
        <v>40</v>
      </c>
      <c r="C461" s="496" t="s">
        <v>448</v>
      </c>
      <c r="D461" s="496" t="s">
        <v>2637</v>
      </c>
      <c r="E461" s="496" t="s">
        <v>1609</v>
      </c>
      <c r="F461" s="505">
        <f>'MCS Budget - Detailed'!N561+'MCS Budget - Detailed'!N562</f>
        <v>6719</v>
      </c>
      <c r="G461" s="497" t="s">
        <v>448</v>
      </c>
    </row>
    <row r="462" spans="1:7" x14ac:dyDescent="0.2">
      <c r="A462" s="496" t="s">
        <v>2005</v>
      </c>
      <c r="B462" s="496" t="s">
        <v>40</v>
      </c>
      <c r="C462" s="496" t="s">
        <v>448</v>
      </c>
      <c r="D462" s="496" t="s">
        <v>2638</v>
      </c>
      <c r="E462" s="496" t="s">
        <v>1609</v>
      </c>
      <c r="F462" s="505">
        <f>'MCS Budget - Detailed'!N566+'MCS Budget - Detailed'!N567</f>
        <v>20</v>
      </c>
      <c r="G462" s="497" t="s">
        <v>448</v>
      </c>
    </row>
    <row r="463" spans="1:7" x14ac:dyDescent="0.2">
      <c r="A463" s="496" t="s">
        <v>2005</v>
      </c>
      <c r="B463" s="496" t="s">
        <v>40</v>
      </c>
      <c r="C463" s="496" t="s">
        <v>448</v>
      </c>
      <c r="D463" s="496" t="s">
        <v>2639</v>
      </c>
      <c r="E463" s="496" t="s">
        <v>1609</v>
      </c>
      <c r="F463" s="505">
        <f>'MCS Budget - Detailed'!N569+'MCS Budget - Detailed'!N570</f>
        <v>97</v>
      </c>
      <c r="G463" s="497" t="s">
        <v>448</v>
      </c>
    </row>
    <row r="464" spans="1:7" x14ac:dyDescent="0.2">
      <c r="A464" s="496" t="s">
        <v>2005</v>
      </c>
      <c r="B464" s="496" t="s">
        <v>40</v>
      </c>
      <c r="C464" s="496" t="s">
        <v>448</v>
      </c>
      <c r="D464" s="496" t="s">
        <v>2640</v>
      </c>
      <c r="E464" s="496" t="s">
        <v>1609</v>
      </c>
      <c r="F464" s="505">
        <f>'MCS Budget - Detailed'!N572+'MCS Budget - Detailed'!N573</f>
        <v>1371</v>
      </c>
      <c r="G464" s="497" t="s">
        <v>448</v>
      </c>
    </row>
    <row r="465" spans="1:7" x14ac:dyDescent="0.2">
      <c r="A465" s="496" t="s">
        <v>2005</v>
      </c>
      <c r="B465" s="496" t="s">
        <v>40</v>
      </c>
      <c r="C465" s="496" t="s">
        <v>448</v>
      </c>
      <c r="D465" s="496" t="s">
        <v>2101</v>
      </c>
      <c r="E465" s="496" t="s">
        <v>1609</v>
      </c>
      <c r="F465" s="505">
        <f>'MCS Budget - Detailed'!N575</f>
        <v>7500</v>
      </c>
      <c r="G465" s="497" t="s">
        <v>448</v>
      </c>
    </row>
    <row r="466" spans="1:7" x14ac:dyDescent="0.2">
      <c r="A466" s="496" t="s">
        <v>2005</v>
      </c>
      <c r="B466" s="496" t="s">
        <v>40</v>
      </c>
      <c r="C466" s="496" t="s">
        <v>448</v>
      </c>
      <c r="D466" s="496" t="s">
        <v>2641</v>
      </c>
      <c r="E466" s="496" t="s">
        <v>1609</v>
      </c>
      <c r="F466" s="505">
        <f>'MCS Budget - Detailed'!N576</f>
        <v>1330</v>
      </c>
      <c r="G466" s="497" t="s">
        <v>448</v>
      </c>
    </row>
    <row r="467" spans="1:7" x14ac:dyDescent="0.2">
      <c r="A467" s="496" t="s">
        <v>2005</v>
      </c>
      <c r="B467" s="496" t="s">
        <v>40</v>
      </c>
      <c r="C467" s="496" t="s">
        <v>448</v>
      </c>
      <c r="D467" s="496" t="s">
        <v>2102</v>
      </c>
      <c r="E467" s="496" t="s">
        <v>1609</v>
      </c>
      <c r="F467" s="505">
        <f>'MCS Budget - Detailed'!N577</f>
        <v>4063</v>
      </c>
      <c r="G467" s="497" t="s">
        <v>448</v>
      </c>
    </row>
    <row r="468" spans="1:7" x14ac:dyDescent="0.2">
      <c r="A468" s="494" t="s">
        <v>2005</v>
      </c>
      <c r="B468" s="496" t="s">
        <v>40</v>
      </c>
      <c r="C468" s="496" t="s">
        <v>448</v>
      </c>
      <c r="D468" s="496" t="s">
        <v>1831</v>
      </c>
      <c r="E468" s="496" t="s">
        <v>1609</v>
      </c>
      <c r="F468" s="505">
        <f>'MCS Budget - Detailed'!N580</f>
        <v>8289</v>
      </c>
      <c r="G468" s="497" t="s">
        <v>448</v>
      </c>
    </row>
    <row r="469" spans="1:7" x14ac:dyDescent="0.2">
      <c r="A469" s="494" t="s">
        <v>2005</v>
      </c>
      <c r="B469" s="496" t="s">
        <v>40</v>
      </c>
      <c r="C469" s="496" t="s">
        <v>448</v>
      </c>
      <c r="D469" s="496" t="s">
        <v>2105</v>
      </c>
      <c r="E469" s="496" t="s">
        <v>1609</v>
      </c>
      <c r="F469" s="505">
        <f>'MCS Budget - Detailed'!N582</f>
        <v>500</v>
      </c>
      <c r="G469" s="497" t="s">
        <v>448</v>
      </c>
    </row>
    <row r="470" spans="1:7" x14ac:dyDescent="0.2">
      <c r="A470" s="494" t="s">
        <v>2005</v>
      </c>
      <c r="B470" s="496" t="s">
        <v>40</v>
      </c>
      <c r="C470" s="496" t="s">
        <v>448</v>
      </c>
      <c r="D470" s="496" t="s">
        <v>2106</v>
      </c>
      <c r="E470" s="496" t="s">
        <v>1609</v>
      </c>
      <c r="F470" s="505">
        <f>'MCS Budget - Detailed'!N584</f>
        <v>3294</v>
      </c>
      <c r="G470" s="497" t="s">
        <v>448</v>
      </c>
    </row>
    <row r="471" spans="1:7" x14ac:dyDescent="0.2">
      <c r="A471" s="496" t="s">
        <v>2005</v>
      </c>
      <c r="B471" s="496" t="s">
        <v>40</v>
      </c>
      <c r="C471" s="496" t="s">
        <v>448</v>
      </c>
      <c r="D471" s="496" t="s">
        <v>1832</v>
      </c>
      <c r="E471" s="496" t="s">
        <v>1609</v>
      </c>
      <c r="F471" s="505">
        <f>'MCS Budget - Detailed'!N587</f>
        <v>4500</v>
      </c>
      <c r="G471" s="497" t="s">
        <v>448</v>
      </c>
    </row>
    <row r="472" spans="1:7" x14ac:dyDescent="0.2">
      <c r="A472" s="494" t="s">
        <v>2005</v>
      </c>
      <c r="B472" s="496" t="s">
        <v>40</v>
      </c>
      <c r="C472" s="496" t="s">
        <v>448</v>
      </c>
      <c r="D472" s="496" t="s">
        <v>1833</v>
      </c>
      <c r="E472" s="496" t="s">
        <v>1609</v>
      </c>
      <c r="F472" s="505">
        <f>'MCS Budget - Detailed'!N589</f>
        <v>34328</v>
      </c>
      <c r="G472" s="497" t="s">
        <v>448</v>
      </c>
    </row>
    <row r="473" spans="1:7" x14ac:dyDescent="0.2">
      <c r="A473" s="496" t="s">
        <v>2005</v>
      </c>
      <c r="B473" s="496" t="s">
        <v>40</v>
      </c>
      <c r="C473" s="496" t="s">
        <v>448</v>
      </c>
      <c r="D473" s="496" t="s">
        <v>1834</v>
      </c>
      <c r="E473" s="496" t="s">
        <v>1609</v>
      </c>
      <c r="F473" s="505">
        <f>'MCS Budget - Detailed'!N590</f>
        <v>20000</v>
      </c>
      <c r="G473" s="497" t="s">
        <v>448</v>
      </c>
    </row>
    <row r="474" spans="1:7" x14ac:dyDescent="0.2">
      <c r="A474" s="494" t="s">
        <v>2005</v>
      </c>
      <c r="B474" s="496" t="s">
        <v>40</v>
      </c>
      <c r="C474" s="496" t="s">
        <v>448</v>
      </c>
      <c r="D474" s="496" t="s">
        <v>1835</v>
      </c>
      <c r="E474" s="496" t="s">
        <v>1609</v>
      </c>
      <c r="F474" s="505">
        <f>'MCS Budget - Detailed'!N591</f>
        <v>900</v>
      </c>
      <c r="G474" s="497" t="s">
        <v>448</v>
      </c>
    </row>
    <row r="475" spans="1:7" x14ac:dyDescent="0.2">
      <c r="A475" s="494" t="s">
        <v>2005</v>
      </c>
      <c r="B475" s="496" t="s">
        <v>40</v>
      </c>
      <c r="C475" s="496" t="s">
        <v>448</v>
      </c>
      <c r="D475" s="496" t="s">
        <v>2642</v>
      </c>
      <c r="E475" s="496" t="s">
        <v>1609</v>
      </c>
      <c r="F475" s="505">
        <f>'MCS Budget - Detailed'!N592</f>
        <v>900</v>
      </c>
      <c r="G475" s="497" t="s">
        <v>448</v>
      </c>
    </row>
    <row r="476" spans="1:7" x14ac:dyDescent="0.2">
      <c r="A476" s="494" t="s">
        <v>2005</v>
      </c>
      <c r="B476" s="496" t="s">
        <v>40</v>
      </c>
      <c r="C476" s="496" t="s">
        <v>448</v>
      </c>
      <c r="D476" s="496" t="s">
        <v>2107</v>
      </c>
      <c r="E476" s="496" t="s">
        <v>1609</v>
      </c>
      <c r="F476" s="505">
        <f>'MCS Budget - Detailed'!N593</f>
        <v>4500</v>
      </c>
      <c r="G476" s="497" t="s">
        <v>1756</v>
      </c>
    </row>
    <row r="477" spans="1:7" x14ac:dyDescent="0.2">
      <c r="A477" s="496" t="s">
        <v>2005</v>
      </c>
      <c r="B477" s="496" t="s">
        <v>40</v>
      </c>
      <c r="C477" s="496" t="s">
        <v>448</v>
      </c>
      <c r="D477" s="496" t="s">
        <v>1836</v>
      </c>
      <c r="E477" s="496" t="s">
        <v>1609</v>
      </c>
      <c r="F477" s="505">
        <f>'MCS Budget - Detailed'!N594</f>
        <v>66</v>
      </c>
      <c r="G477" s="497" t="s">
        <v>448</v>
      </c>
    </row>
    <row r="478" spans="1:7" x14ac:dyDescent="0.2">
      <c r="A478" s="494" t="s">
        <v>2005</v>
      </c>
      <c r="B478" s="496" t="s">
        <v>40</v>
      </c>
      <c r="C478" s="496" t="s">
        <v>448</v>
      </c>
      <c r="D478" s="496" t="s">
        <v>1837</v>
      </c>
      <c r="E478" s="496" t="s">
        <v>1609</v>
      </c>
      <c r="F478" s="505">
        <f>'MCS Budget - Detailed'!N595</f>
        <v>66</v>
      </c>
      <c r="G478" s="497" t="s">
        <v>448</v>
      </c>
    </row>
    <row r="479" spans="1:7" x14ac:dyDescent="0.2">
      <c r="A479" s="496" t="s">
        <v>2005</v>
      </c>
      <c r="B479" s="496" t="s">
        <v>40</v>
      </c>
      <c r="C479" s="496" t="s">
        <v>448</v>
      </c>
      <c r="D479" s="496" t="s">
        <v>1838</v>
      </c>
      <c r="E479" s="496" t="s">
        <v>1609</v>
      </c>
      <c r="F479" s="505">
        <f>'MCS Budget - Detailed'!N596</f>
        <v>120</v>
      </c>
      <c r="G479" s="497" t="s">
        <v>448</v>
      </c>
    </row>
    <row r="480" spans="1:7" x14ac:dyDescent="0.2">
      <c r="A480" s="494" t="s">
        <v>2005</v>
      </c>
      <c r="B480" s="496" t="s">
        <v>40</v>
      </c>
      <c r="C480" s="496" t="s">
        <v>448</v>
      </c>
      <c r="D480" s="496" t="s">
        <v>1839</v>
      </c>
      <c r="E480" s="496" t="s">
        <v>1609</v>
      </c>
      <c r="F480" s="505">
        <f>'MCS Budget - Detailed'!N597</f>
        <v>63</v>
      </c>
      <c r="G480" s="497" t="s">
        <v>448</v>
      </c>
    </row>
    <row r="481" spans="1:7" x14ac:dyDescent="0.2">
      <c r="A481" s="496" t="s">
        <v>2005</v>
      </c>
      <c r="B481" s="496" t="s">
        <v>40</v>
      </c>
      <c r="C481" s="496" t="s">
        <v>448</v>
      </c>
      <c r="D481" s="496" t="s">
        <v>1840</v>
      </c>
      <c r="E481" s="496" t="s">
        <v>1609</v>
      </c>
      <c r="F481" s="505">
        <f>'MCS Budget - Detailed'!N598</f>
        <v>576</v>
      </c>
      <c r="G481" s="497" t="s">
        <v>448</v>
      </c>
    </row>
    <row r="482" spans="1:7" x14ac:dyDescent="0.2">
      <c r="A482" s="494" t="s">
        <v>2005</v>
      </c>
      <c r="B482" s="496" t="s">
        <v>40</v>
      </c>
      <c r="C482" s="496" t="s">
        <v>448</v>
      </c>
      <c r="D482" s="496" t="s">
        <v>1841</v>
      </c>
      <c r="E482" s="496" t="s">
        <v>1609</v>
      </c>
      <c r="F482" s="505">
        <f>'MCS Budget - Detailed'!N599</f>
        <v>304</v>
      </c>
      <c r="G482" s="497" t="s">
        <v>448</v>
      </c>
    </row>
    <row r="483" spans="1:7" x14ac:dyDescent="0.2">
      <c r="A483" s="496" t="s">
        <v>2005</v>
      </c>
      <c r="B483" s="496" t="s">
        <v>40</v>
      </c>
      <c r="C483" s="496" t="s">
        <v>448</v>
      </c>
      <c r="D483" s="496" t="s">
        <v>1842</v>
      </c>
      <c r="E483" s="496" t="s">
        <v>1609</v>
      </c>
      <c r="F483" s="505">
        <f>'MCS Budget - Detailed'!N600</f>
        <v>7860</v>
      </c>
      <c r="G483" s="497" t="s">
        <v>448</v>
      </c>
    </row>
    <row r="484" spans="1:7" x14ac:dyDescent="0.2">
      <c r="A484" s="494" t="s">
        <v>2005</v>
      </c>
      <c r="B484" s="496" t="s">
        <v>40</v>
      </c>
      <c r="C484" s="496" t="s">
        <v>448</v>
      </c>
      <c r="D484" s="496" t="s">
        <v>1843</v>
      </c>
      <c r="E484" s="496" t="s">
        <v>1609</v>
      </c>
      <c r="F484" s="505">
        <f>'MCS Budget - Detailed'!N601</f>
        <v>4264</v>
      </c>
      <c r="G484" s="497" t="s">
        <v>448</v>
      </c>
    </row>
    <row r="485" spans="1:7" x14ac:dyDescent="0.2">
      <c r="A485" s="496" t="s">
        <v>2005</v>
      </c>
      <c r="B485" s="496" t="s">
        <v>40</v>
      </c>
      <c r="C485" s="496" t="s">
        <v>448</v>
      </c>
      <c r="D485" s="496" t="s">
        <v>1844</v>
      </c>
      <c r="E485" s="496" t="s">
        <v>1609</v>
      </c>
      <c r="F485" s="505">
        <f>'MCS Budget - Detailed'!N602</f>
        <v>6169</v>
      </c>
      <c r="G485" s="497" t="s">
        <v>448</v>
      </c>
    </row>
    <row r="486" spans="1:7" x14ac:dyDescent="0.2">
      <c r="A486" s="494" t="s">
        <v>2005</v>
      </c>
      <c r="B486" s="496" t="s">
        <v>40</v>
      </c>
      <c r="C486" s="496" t="s">
        <v>448</v>
      </c>
      <c r="D486" s="496" t="s">
        <v>1845</v>
      </c>
      <c r="E486" s="496" t="s">
        <v>1609</v>
      </c>
      <c r="F486" s="505">
        <f>'MCS Budget - Detailed'!N603</f>
        <v>37</v>
      </c>
      <c r="G486" s="497" t="s">
        <v>448</v>
      </c>
    </row>
    <row r="487" spans="1:7" x14ac:dyDescent="0.2">
      <c r="A487" s="496" t="s">
        <v>2005</v>
      </c>
      <c r="B487" s="496" t="s">
        <v>40</v>
      </c>
      <c r="C487" s="496" t="s">
        <v>448</v>
      </c>
      <c r="D487" s="496" t="s">
        <v>2643</v>
      </c>
      <c r="E487" s="496" t="s">
        <v>1609</v>
      </c>
      <c r="F487" s="505">
        <f>'MCS Budget - Detailed'!N604</f>
        <v>1165</v>
      </c>
      <c r="G487" s="497" t="s">
        <v>448</v>
      </c>
    </row>
    <row r="488" spans="1:7" x14ac:dyDescent="0.2">
      <c r="A488" s="494" t="s">
        <v>2005</v>
      </c>
      <c r="B488" s="496" t="s">
        <v>40</v>
      </c>
      <c r="C488" s="496" t="s">
        <v>448</v>
      </c>
      <c r="D488" s="496" t="s">
        <v>2644</v>
      </c>
      <c r="E488" s="496" t="s">
        <v>1609</v>
      </c>
      <c r="F488" s="505">
        <f>'MCS Budget - Detailed'!N605</f>
        <v>600</v>
      </c>
      <c r="G488" s="497" t="s">
        <v>448</v>
      </c>
    </row>
    <row r="489" spans="1:7" x14ac:dyDescent="0.2">
      <c r="A489" s="496" t="s">
        <v>2005</v>
      </c>
      <c r="B489" s="496" t="s">
        <v>40</v>
      </c>
      <c r="C489" s="496" t="s">
        <v>448</v>
      </c>
      <c r="D489" s="496" t="s">
        <v>2108</v>
      </c>
      <c r="E489" s="496" t="s">
        <v>1609</v>
      </c>
      <c r="F489" s="505">
        <f>'MCS Budget - Detailed'!N606</f>
        <v>1000</v>
      </c>
      <c r="G489" s="497" t="s">
        <v>448</v>
      </c>
    </row>
    <row r="490" spans="1:7" x14ac:dyDescent="0.2">
      <c r="A490" s="496" t="s">
        <v>2005</v>
      </c>
      <c r="B490" s="496" t="s">
        <v>40</v>
      </c>
      <c r="C490" s="496" t="s">
        <v>448</v>
      </c>
      <c r="D490" s="496" t="s">
        <v>1846</v>
      </c>
      <c r="E490" s="496" t="s">
        <v>1609</v>
      </c>
      <c r="F490" s="505">
        <f>'MCS Budget - Detailed'!N607</f>
        <v>700</v>
      </c>
      <c r="G490" s="497" t="s">
        <v>448</v>
      </c>
    </row>
    <row r="491" spans="1:7" x14ac:dyDescent="0.2">
      <c r="A491" s="494" t="s">
        <v>2005</v>
      </c>
      <c r="B491" s="496" t="s">
        <v>40</v>
      </c>
      <c r="C491" s="496" t="s">
        <v>448</v>
      </c>
      <c r="D491" s="496" t="s">
        <v>1847</v>
      </c>
      <c r="E491" s="496" t="s">
        <v>1609</v>
      </c>
      <c r="F491" s="505">
        <f>'MCS Budget - Detailed'!N608</f>
        <v>20598</v>
      </c>
      <c r="G491" s="497" t="s">
        <v>448</v>
      </c>
    </row>
    <row r="492" spans="1:7" x14ac:dyDescent="0.2">
      <c r="A492" s="496" t="s">
        <v>2005</v>
      </c>
      <c r="B492" s="496" t="s">
        <v>40</v>
      </c>
      <c r="C492" s="496" t="s">
        <v>448</v>
      </c>
      <c r="D492" s="496" t="s">
        <v>1848</v>
      </c>
      <c r="E492" s="496" t="s">
        <v>1609</v>
      </c>
      <c r="F492" s="505">
        <f>'MCS Budget - Detailed'!N609</f>
        <v>1000</v>
      </c>
      <c r="G492" s="497" t="s">
        <v>448</v>
      </c>
    </row>
    <row r="493" spans="1:7" x14ac:dyDescent="0.2">
      <c r="A493" s="494" t="s">
        <v>2005</v>
      </c>
      <c r="B493" s="496" t="s">
        <v>40</v>
      </c>
      <c r="C493" s="496" t="s">
        <v>448</v>
      </c>
      <c r="D493" s="496" t="s">
        <v>1849</v>
      </c>
      <c r="E493" s="496" t="s">
        <v>1609</v>
      </c>
      <c r="F493" s="505">
        <f>'MCS Budget - Detailed'!N611</f>
        <v>47773</v>
      </c>
      <c r="G493" s="497" t="s">
        <v>448</v>
      </c>
    </row>
    <row r="494" spans="1:7" x14ac:dyDescent="0.2">
      <c r="A494" s="496" t="s">
        <v>2005</v>
      </c>
      <c r="B494" s="496" t="s">
        <v>40</v>
      </c>
      <c r="C494" s="496" t="s">
        <v>448</v>
      </c>
      <c r="D494" s="496" t="s">
        <v>1850</v>
      </c>
      <c r="E494" s="496" t="s">
        <v>1609</v>
      </c>
      <c r="F494" s="505">
        <f>'MCS Budget - Detailed'!N613</f>
        <v>66</v>
      </c>
      <c r="G494" s="497" t="s">
        <v>448</v>
      </c>
    </row>
    <row r="495" spans="1:7" x14ac:dyDescent="0.2">
      <c r="A495" s="494" t="s">
        <v>2005</v>
      </c>
      <c r="B495" s="496" t="s">
        <v>40</v>
      </c>
      <c r="C495" s="496" t="s">
        <v>448</v>
      </c>
      <c r="D495" s="496" t="s">
        <v>1851</v>
      </c>
      <c r="E495" s="496" t="s">
        <v>1609</v>
      </c>
      <c r="F495" s="505">
        <f>'MCS Budget - Detailed'!N614</f>
        <v>144</v>
      </c>
      <c r="G495" s="497" t="s">
        <v>448</v>
      </c>
    </row>
    <row r="496" spans="1:7" x14ac:dyDescent="0.2">
      <c r="A496" s="496" t="s">
        <v>2005</v>
      </c>
      <c r="B496" s="496" t="s">
        <v>40</v>
      </c>
      <c r="C496" s="496" t="s">
        <v>448</v>
      </c>
      <c r="D496" s="496" t="s">
        <v>1852</v>
      </c>
      <c r="E496" s="496" t="s">
        <v>1609</v>
      </c>
      <c r="F496" s="505">
        <f>'MCS Budget - Detailed'!N616</f>
        <v>693</v>
      </c>
      <c r="G496" s="497" t="s">
        <v>448</v>
      </c>
    </row>
    <row r="497" spans="1:7" x14ac:dyDescent="0.2">
      <c r="A497" s="494" t="s">
        <v>2005</v>
      </c>
      <c r="B497" s="496" t="s">
        <v>40</v>
      </c>
      <c r="C497" s="496" t="s">
        <v>448</v>
      </c>
      <c r="D497" s="496" t="s">
        <v>1853</v>
      </c>
      <c r="E497" s="496" t="s">
        <v>1609</v>
      </c>
      <c r="F497" s="505">
        <f>'MCS Budget - Detailed'!N618</f>
        <v>9746</v>
      </c>
      <c r="G497" s="497" t="s">
        <v>448</v>
      </c>
    </row>
    <row r="498" spans="1:7" x14ac:dyDescent="0.2">
      <c r="A498" s="496" t="s">
        <v>2005</v>
      </c>
      <c r="B498" s="496" t="s">
        <v>40</v>
      </c>
      <c r="C498" s="496" t="s">
        <v>448</v>
      </c>
      <c r="D498" s="496" t="s">
        <v>1854</v>
      </c>
      <c r="E498" s="496" t="s">
        <v>1609</v>
      </c>
      <c r="F498" s="505">
        <f>'MCS Budget - Detailed'!N619</f>
        <v>6169</v>
      </c>
      <c r="G498" s="497" t="s">
        <v>448</v>
      </c>
    </row>
    <row r="499" spans="1:7" x14ac:dyDescent="0.2">
      <c r="A499" s="496" t="s">
        <v>2005</v>
      </c>
      <c r="B499" s="496" t="s">
        <v>40</v>
      </c>
      <c r="C499" s="496" t="s">
        <v>448</v>
      </c>
      <c r="D499" s="496" t="s">
        <v>2645</v>
      </c>
      <c r="E499" s="496" t="s">
        <v>1609</v>
      </c>
      <c r="F499" s="505">
        <f>'MCS Budget - Detailed'!N620</f>
        <v>1433</v>
      </c>
      <c r="G499" s="497" t="s">
        <v>448</v>
      </c>
    </row>
    <row r="500" spans="1:7" x14ac:dyDescent="0.2">
      <c r="A500" s="494" t="s">
        <v>2005</v>
      </c>
      <c r="B500" s="496" t="s">
        <v>40</v>
      </c>
      <c r="C500" s="496" t="s">
        <v>448</v>
      </c>
      <c r="D500" s="496" t="s">
        <v>2267</v>
      </c>
      <c r="E500" s="496" t="s">
        <v>1609</v>
      </c>
      <c r="F500" s="505">
        <f>'MCS Budget - Detailed'!N621</f>
        <v>600</v>
      </c>
      <c r="G500" s="497" t="s">
        <v>448</v>
      </c>
    </row>
    <row r="501" spans="1:7" x14ac:dyDescent="0.2">
      <c r="A501" s="496" t="s">
        <v>2005</v>
      </c>
      <c r="B501" s="496" t="s">
        <v>40</v>
      </c>
      <c r="C501" s="496" t="s">
        <v>448</v>
      </c>
      <c r="D501" s="496" t="s">
        <v>1855</v>
      </c>
      <c r="E501" s="496" t="s">
        <v>1609</v>
      </c>
      <c r="F501" s="505">
        <f>'MCS Budget - Detailed'!N622</f>
        <v>1500</v>
      </c>
      <c r="G501" s="497" t="s">
        <v>448</v>
      </c>
    </row>
    <row r="502" spans="1:7" x14ac:dyDescent="0.2">
      <c r="A502" s="494" t="s">
        <v>2005</v>
      </c>
      <c r="B502" s="496" t="s">
        <v>40</v>
      </c>
      <c r="C502" s="496" t="s">
        <v>448</v>
      </c>
      <c r="D502" s="496" t="s">
        <v>2109</v>
      </c>
      <c r="E502" s="496" t="s">
        <v>1609</v>
      </c>
      <c r="F502" s="505">
        <f>'MCS Budget - Detailed'!N624</f>
        <v>900</v>
      </c>
      <c r="G502" s="497" t="s">
        <v>448</v>
      </c>
    </row>
    <row r="503" spans="1:7" x14ac:dyDescent="0.2">
      <c r="A503" s="494" t="s">
        <v>2005</v>
      </c>
      <c r="B503" s="496" t="s">
        <v>40</v>
      </c>
      <c r="C503" s="496" t="s">
        <v>448</v>
      </c>
      <c r="D503" s="496" t="s">
        <v>2110</v>
      </c>
      <c r="E503" s="496" t="s">
        <v>1609</v>
      </c>
      <c r="F503" s="505">
        <f>'MCS Budget - Detailed'!N626</f>
        <v>11000</v>
      </c>
      <c r="G503" s="497" t="s">
        <v>448</v>
      </c>
    </row>
    <row r="504" spans="1:7" x14ac:dyDescent="0.2">
      <c r="A504" s="494" t="s">
        <v>2005</v>
      </c>
      <c r="B504" s="496" t="s">
        <v>40</v>
      </c>
      <c r="C504" s="496" t="s">
        <v>448</v>
      </c>
      <c r="D504" s="496" t="s">
        <v>2111</v>
      </c>
      <c r="E504" s="496" t="s">
        <v>1609</v>
      </c>
      <c r="F504" s="505">
        <f>'MCS Budget - Detailed'!N627</f>
        <v>33</v>
      </c>
      <c r="G504" s="497" t="s">
        <v>448</v>
      </c>
    </row>
    <row r="505" spans="1:7" x14ac:dyDescent="0.2">
      <c r="A505" s="494" t="s">
        <v>2005</v>
      </c>
      <c r="B505" s="496" t="s">
        <v>40</v>
      </c>
      <c r="C505" s="496" t="s">
        <v>448</v>
      </c>
      <c r="D505" s="496" t="s">
        <v>2112</v>
      </c>
      <c r="E505" s="496" t="s">
        <v>1609</v>
      </c>
      <c r="F505" s="505">
        <f>'MCS Budget - Detailed'!N628</f>
        <v>160</v>
      </c>
      <c r="G505" s="497" t="s">
        <v>448</v>
      </c>
    </row>
    <row r="506" spans="1:7" x14ac:dyDescent="0.2">
      <c r="A506" s="494" t="s">
        <v>2005</v>
      </c>
      <c r="B506" s="496" t="s">
        <v>40</v>
      </c>
      <c r="C506" s="496" t="s">
        <v>448</v>
      </c>
      <c r="D506" s="496" t="s">
        <v>2113</v>
      </c>
      <c r="E506" s="496" t="s">
        <v>1609</v>
      </c>
      <c r="F506" s="505">
        <f>'MCS Budget - Detailed'!N629</f>
        <v>2244</v>
      </c>
      <c r="G506" s="497" t="s">
        <v>448</v>
      </c>
    </row>
    <row r="507" spans="1:7" x14ac:dyDescent="0.2">
      <c r="A507" s="494" t="s">
        <v>2005</v>
      </c>
      <c r="B507" s="496" t="s">
        <v>40</v>
      </c>
      <c r="C507" s="496" t="s">
        <v>448</v>
      </c>
      <c r="D507" s="496" t="s">
        <v>2646</v>
      </c>
      <c r="E507" s="496" t="s">
        <v>1609</v>
      </c>
      <c r="F507" s="505">
        <f>'MCS Budget - Detailed'!N630</f>
        <v>330</v>
      </c>
      <c r="G507" s="497" t="s">
        <v>448</v>
      </c>
    </row>
    <row r="508" spans="1:7" x14ac:dyDescent="0.2">
      <c r="A508" s="494" t="s">
        <v>2005</v>
      </c>
      <c r="B508" s="496" t="s">
        <v>40</v>
      </c>
      <c r="C508" s="496" t="s">
        <v>448</v>
      </c>
      <c r="D508" s="496" t="s">
        <v>1856</v>
      </c>
      <c r="E508" s="496" t="s">
        <v>1609</v>
      </c>
      <c r="F508" s="505">
        <f>'MCS Budget - Detailed'!N631</f>
        <v>2000</v>
      </c>
      <c r="G508" s="497" t="s">
        <v>448</v>
      </c>
    </row>
    <row r="509" spans="1:7" x14ac:dyDescent="0.2">
      <c r="A509" s="494" t="s">
        <v>2005</v>
      </c>
      <c r="B509" s="496" t="s">
        <v>40</v>
      </c>
      <c r="C509" s="496" t="s">
        <v>448</v>
      </c>
      <c r="D509" s="496" t="s">
        <v>1857</v>
      </c>
      <c r="E509" s="496" t="s">
        <v>1609</v>
      </c>
      <c r="F509" s="505">
        <f>'MCS Budget - Detailed'!N634</f>
        <v>500</v>
      </c>
      <c r="G509" s="497" t="s">
        <v>448</v>
      </c>
    </row>
    <row r="510" spans="1:7" x14ac:dyDescent="0.2">
      <c r="A510" s="494" t="s">
        <v>2005</v>
      </c>
      <c r="B510" s="496" t="s">
        <v>40</v>
      </c>
      <c r="C510" s="496" t="s">
        <v>448</v>
      </c>
      <c r="D510" s="496" t="s">
        <v>1858</v>
      </c>
      <c r="E510" s="496" t="s">
        <v>1609</v>
      </c>
      <c r="F510" s="505">
        <f>'MCS Budget - Detailed'!N635</f>
        <v>800</v>
      </c>
      <c r="G510" s="497" t="s">
        <v>448</v>
      </c>
    </row>
    <row r="511" spans="1:7" x14ac:dyDescent="0.2">
      <c r="A511" s="496" t="s">
        <v>2005</v>
      </c>
      <c r="B511" s="496" t="s">
        <v>40</v>
      </c>
      <c r="C511" s="496" t="s">
        <v>448</v>
      </c>
      <c r="D511" s="496" t="s">
        <v>2460</v>
      </c>
      <c r="E511" s="496" t="s">
        <v>1609</v>
      </c>
      <c r="F511" s="505">
        <f>'MCS Budget - Detailed'!N637</f>
        <v>23473</v>
      </c>
      <c r="G511" s="497" t="s">
        <v>448</v>
      </c>
    </row>
    <row r="512" spans="1:7" x14ac:dyDescent="0.2">
      <c r="A512" s="496" t="s">
        <v>2005</v>
      </c>
      <c r="B512" s="496" t="s">
        <v>40</v>
      </c>
      <c r="C512" s="496" t="s">
        <v>448</v>
      </c>
      <c r="D512" s="496" t="s">
        <v>2647</v>
      </c>
      <c r="E512" s="496" t="s">
        <v>1609</v>
      </c>
      <c r="F512" s="505">
        <f>'MCS Budget - Detailed'!N638</f>
        <v>256</v>
      </c>
      <c r="G512" s="497" t="s">
        <v>448</v>
      </c>
    </row>
    <row r="513" spans="1:7" x14ac:dyDescent="0.2">
      <c r="A513" s="494" t="s">
        <v>2005</v>
      </c>
      <c r="B513" s="496" t="s">
        <v>40</v>
      </c>
      <c r="C513" s="496" t="s">
        <v>448</v>
      </c>
      <c r="D513" s="496" t="s">
        <v>1859</v>
      </c>
      <c r="E513" s="496" t="s">
        <v>1609</v>
      </c>
      <c r="F513" s="505">
        <f>'MCS Budget - Detailed'!N639</f>
        <v>66</v>
      </c>
      <c r="G513" s="497" t="s">
        <v>448</v>
      </c>
    </row>
    <row r="514" spans="1:7" x14ac:dyDescent="0.2">
      <c r="A514" s="496" t="s">
        <v>2005</v>
      </c>
      <c r="B514" s="496" t="s">
        <v>40</v>
      </c>
      <c r="C514" s="496" t="s">
        <v>448</v>
      </c>
      <c r="D514" s="496" t="s">
        <v>1860</v>
      </c>
      <c r="E514" s="496" t="s">
        <v>1609</v>
      </c>
      <c r="F514" s="505">
        <f>'MCS Budget - Detailed'!N640</f>
        <v>72</v>
      </c>
      <c r="G514" s="497" t="s">
        <v>448</v>
      </c>
    </row>
    <row r="515" spans="1:7" x14ac:dyDescent="0.2">
      <c r="A515" s="494" t="s">
        <v>2005</v>
      </c>
      <c r="B515" s="496" t="s">
        <v>40</v>
      </c>
      <c r="C515" s="496" t="s">
        <v>448</v>
      </c>
      <c r="D515" s="496" t="s">
        <v>1861</v>
      </c>
      <c r="E515" s="496" t="s">
        <v>1609</v>
      </c>
      <c r="F515" s="505">
        <f>'MCS Budget - Detailed'!N641</f>
        <v>344</v>
      </c>
      <c r="G515" s="497" t="s">
        <v>448</v>
      </c>
    </row>
    <row r="516" spans="1:7" x14ac:dyDescent="0.2">
      <c r="A516" s="496" t="s">
        <v>2005</v>
      </c>
      <c r="B516" s="496" t="s">
        <v>40</v>
      </c>
      <c r="C516" s="496" t="s">
        <v>448</v>
      </c>
      <c r="D516" s="496" t="s">
        <v>1862</v>
      </c>
      <c r="E516" s="496" t="s">
        <v>1609</v>
      </c>
      <c r="F516" s="505">
        <f>'MCS Budget - Detailed'!N642</f>
        <v>4789</v>
      </c>
      <c r="G516" s="497" t="s">
        <v>448</v>
      </c>
    </row>
    <row r="517" spans="1:7" x14ac:dyDescent="0.2">
      <c r="A517" s="494" t="s">
        <v>2005</v>
      </c>
      <c r="B517" s="496" t="s">
        <v>40</v>
      </c>
      <c r="C517" s="496" t="s">
        <v>448</v>
      </c>
      <c r="D517" s="496" t="s">
        <v>1863</v>
      </c>
      <c r="E517" s="496" t="s">
        <v>1609</v>
      </c>
      <c r="F517" s="505">
        <f>'MCS Budget - Detailed'!N643</f>
        <v>6169</v>
      </c>
      <c r="G517" s="497" t="s">
        <v>448</v>
      </c>
    </row>
    <row r="518" spans="1:7" x14ac:dyDescent="0.2">
      <c r="A518" s="494" t="s">
        <v>2005</v>
      </c>
      <c r="B518" s="496" t="s">
        <v>40</v>
      </c>
      <c r="C518" s="496" t="s">
        <v>448</v>
      </c>
      <c r="D518" s="496" t="s">
        <v>2648</v>
      </c>
      <c r="E518" s="496" t="s">
        <v>1609</v>
      </c>
      <c r="F518" s="505">
        <f>'MCS Budget - Detailed'!N644</f>
        <v>704</v>
      </c>
      <c r="G518" s="497" t="s">
        <v>448</v>
      </c>
    </row>
    <row r="519" spans="1:7" x14ac:dyDescent="0.2">
      <c r="A519" s="496" t="s">
        <v>2005</v>
      </c>
      <c r="B519" s="496" t="s">
        <v>40</v>
      </c>
      <c r="C519" s="496" t="s">
        <v>448</v>
      </c>
      <c r="D519" s="496" t="s">
        <v>1864</v>
      </c>
      <c r="E519" s="496" t="s">
        <v>1609</v>
      </c>
      <c r="F519" s="505">
        <f>'MCS Budget - Detailed'!N645</f>
        <v>3000</v>
      </c>
      <c r="G519" s="497" t="s">
        <v>448</v>
      </c>
    </row>
    <row r="520" spans="1:7" x14ac:dyDescent="0.2">
      <c r="A520" s="494" t="s">
        <v>2005</v>
      </c>
      <c r="B520" s="496" t="s">
        <v>40</v>
      </c>
      <c r="C520" s="496" t="s">
        <v>448</v>
      </c>
      <c r="D520" s="496" t="s">
        <v>1865</v>
      </c>
      <c r="E520" s="496" t="s">
        <v>1609</v>
      </c>
      <c r="F520" s="505">
        <f>'MCS Budget - Detailed'!N646</f>
        <v>400</v>
      </c>
      <c r="G520" s="497" t="s">
        <v>448</v>
      </c>
    </row>
    <row r="521" spans="1:7" x14ac:dyDescent="0.2">
      <c r="A521" s="496" t="s">
        <v>2005</v>
      </c>
      <c r="B521" s="496" t="s">
        <v>40</v>
      </c>
      <c r="C521" s="496" t="s">
        <v>448</v>
      </c>
      <c r="D521" s="496" t="s">
        <v>1866</v>
      </c>
      <c r="E521" s="496" t="s">
        <v>1609</v>
      </c>
      <c r="F521" s="505">
        <f>'MCS Budget - Detailed'!N647</f>
        <v>800</v>
      </c>
      <c r="G521" s="497" t="s">
        <v>448</v>
      </c>
    </row>
    <row r="522" spans="1:7" x14ac:dyDescent="0.2">
      <c r="A522" s="494" t="s">
        <v>2005</v>
      </c>
      <c r="B522" s="496" t="s">
        <v>40</v>
      </c>
      <c r="C522" s="496" t="s">
        <v>448</v>
      </c>
      <c r="D522" s="496" t="s">
        <v>1867</v>
      </c>
      <c r="E522" s="496" t="s">
        <v>1609</v>
      </c>
      <c r="F522" s="505">
        <f>'MCS Budget - Detailed'!N648</f>
        <v>1708</v>
      </c>
      <c r="G522" s="497" t="s">
        <v>448</v>
      </c>
    </row>
    <row r="523" spans="1:7" x14ac:dyDescent="0.2">
      <c r="A523" s="496" t="s">
        <v>2005</v>
      </c>
      <c r="B523" s="496" t="s">
        <v>40</v>
      </c>
      <c r="C523" s="496" t="s">
        <v>448</v>
      </c>
      <c r="D523" s="496" t="s">
        <v>1868</v>
      </c>
      <c r="E523" s="496" t="s">
        <v>1609</v>
      </c>
      <c r="F523" s="505">
        <f>'MCS Budget - Detailed'!N649</f>
        <v>4500</v>
      </c>
      <c r="G523" s="497" t="s">
        <v>448</v>
      </c>
    </row>
    <row r="524" spans="1:7" x14ac:dyDescent="0.2">
      <c r="A524" s="494" t="s">
        <v>2005</v>
      </c>
      <c r="B524" s="496" t="s">
        <v>40</v>
      </c>
      <c r="C524" s="496" t="s">
        <v>448</v>
      </c>
      <c r="D524" s="496" t="s">
        <v>1869</v>
      </c>
      <c r="E524" s="496" t="s">
        <v>1609</v>
      </c>
      <c r="F524" s="505">
        <f>'MCS Budget - Detailed'!N650</f>
        <v>850</v>
      </c>
      <c r="G524" s="497" t="s">
        <v>448</v>
      </c>
    </row>
    <row r="525" spans="1:7" x14ac:dyDescent="0.2">
      <c r="A525" s="496" t="s">
        <v>2005</v>
      </c>
      <c r="B525" s="496" t="s">
        <v>40</v>
      </c>
      <c r="C525" s="496" t="s">
        <v>448</v>
      </c>
      <c r="D525" s="496" t="s">
        <v>1870</v>
      </c>
      <c r="E525" s="496" t="s">
        <v>1609</v>
      </c>
      <c r="F525" s="505">
        <f>'MCS Budget - Detailed'!N651</f>
        <v>600</v>
      </c>
      <c r="G525" s="497" t="s">
        <v>448</v>
      </c>
    </row>
    <row r="526" spans="1:7" x14ac:dyDescent="0.2">
      <c r="A526" s="494" t="s">
        <v>2005</v>
      </c>
      <c r="B526" s="496" t="s">
        <v>40</v>
      </c>
      <c r="C526" s="496" t="s">
        <v>448</v>
      </c>
      <c r="D526" s="496" t="s">
        <v>2114</v>
      </c>
      <c r="E526" s="496" t="s">
        <v>1609</v>
      </c>
      <c r="F526" s="505">
        <f>'MCS Budget - Detailed'!N654</f>
        <v>1800</v>
      </c>
      <c r="G526" s="497" t="s">
        <v>448</v>
      </c>
    </row>
    <row r="527" spans="1:7" x14ac:dyDescent="0.2">
      <c r="A527" s="494" t="s">
        <v>2005</v>
      </c>
      <c r="B527" s="496" t="s">
        <v>40</v>
      </c>
      <c r="C527" s="496" t="s">
        <v>448</v>
      </c>
      <c r="D527" s="496" t="s">
        <v>2115</v>
      </c>
      <c r="E527" s="496" t="s">
        <v>1609</v>
      </c>
      <c r="F527" s="505">
        <f>'MCS Budget - Detailed'!N655</f>
        <v>6</v>
      </c>
      <c r="G527" s="497" t="s">
        <v>448</v>
      </c>
    </row>
    <row r="528" spans="1:7" x14ac:dyDescent="0.2">
      <c r="A528" s="494" t="s">
        <v>2005</v>
      </c>
      <c r="B528" s="496" t="s">
        <v>40</v>
      </c>
      <c r="C528" s="496" t="s">
        <v>448</v>
      </c>
      <c r="D528" s="496" t="s">
        <v>2116</v>
      </c>
      <c r="E528" s="496" t="s">
        <v>1609</v>
      </c>
      <c r="F528" s="505">
        <f>'MCS Budget - Detailed'!N656</f>
        <v>27</v>
      </c>
      <c r="G528" s="497" t="s">
        <v>448</v>
      </c>
    </row>
    <row r="529" spans="1:7" x14ac:dyDescent="0.2">
      <c r="A529" s="494" t="s">
        <v>2005</v>
      </c>
      <c r="B529" s="496" t="s">
        <v>40</v>
      </c>
      <c r="C529" s="496" t="s">
        <v>448</v>
      </c>
      <c r="D529" s="496" t="s">
        <v>2117</v>
      </c>
      <c r="E529" s="496" t="s">
        <v>1609</v>
      </c>
      <c r="F529" s="505">
        <f>'MCS Budget - Detailed'!N657</f>
        <v>368</v>
      </c>
      <c r="G529" s="497" t="s">
        <v>448</v>
      </c>
    </row>
    <row r="530" spans="1:7" x14ac:dyDescent="0.2">
      <c r="A530" s="494" t="s">
        <v>2005</v>
      </c>
      <c r="B530" s="496" t="s">
        <v>40</v>
      </c>
      <c r="C530" s="496" t="s">
        <v>448</v>
      </c>
      <c r="D530" s="496" t="s">
        <v>2118</v>
      </c>
      <c r="E530" s="496" t="s">
        <v>1609</v>
      </c>
      <c r="F530" s="505">
        <f>'MCS Budget - Detailed'!N658</f>
        <v>4000</v>
      </c>
      <c r="G530" s="497" t="s">
        <v>448</v>
      </c>
    </row>
    <row r="531" spans="1:7" x14ac:dyDescent="0.2">
      <c r="A531" s="494" t="s">
        <v>2005</v>
      </c>
      <c r="B531" s="496" t="s">
        <v>40</v>
      </c>
      <c r="C531" s="496" t="s">
        <v>448</v>
      </c>
      <c r="D531" s="496" t="s">
        <v>1871</v>
      </c>
      <c r="E531" s="496" t="s">
        <v>1609</v>
      </c>
      <c r="F531" s="505">
        <f>'MCS Budget - Detailed'!N659</f>
        <v>11188</v>
      </c>
      <c r="G531" s="497" t="s">
        <v>448</v>
      </c>
    </row>
    <row r="532" spans="1:7" x14ac:dyDescent="0.2">
      <c r="A532" s="496" t="s">
        <v>2005</v>
      </c>
      <c r="B532" s="496" t="s">
        <v>40</v>
      </c>
      <c r="C532" s="496" t="s">
        <v>448</v>
      </c>
      <c r="D532" s="496" t="s">
        <v>2649</v>
      </c>
      <c r="E532" s="496" t="s">
        <v>1609</v>
      </c>
      <c r="F532" s="505">
        <f>'MCS Budget - Detailed'!N660</f>
        <v>6000</v>
      </c>
      <c r="G532" s="497" t="s">
        <v>448</v>
      </c>
    </row>
    <row r="533" spans="1:7" x14ac:dyDescent="0.2">
      <c r="A533" s="496" t="s">
        <v>2005</v>
      </c>
      <c r="B533" s="496" t="s">
        <v>40</v>
      </c>
      <c r="C533" s="496" t="s">
        <v>448</v>
      </c>
      <c r="D533" s="496" t="s">
        <v>1872</v>
      </c>
      <c r="E533" s="496" t="s">
        <v>1609</v>
      </c>
      <c r="F533" s="505">
        <f>'MCS Budget - Detailed'!N661</f>
        <v>1000</v>
      </c>
      <c r="G533" s="497" t="s">
        <v>448</v>
      </c>
    </row>
    <row r="534" spans="1:7" x14ac:dyDescent="0.2">
      <c r="A534" s="494" t="s">
        <v>2005</v>
      </c>
      <c r="B534" s="496" t="s">
        <v>40</v>
      </c>
      <c r="C534" s="496" t="s">
        <v>448</v>
      </c>
      <c r="D534" s="496" t="s">
        <v>1873</v>
      </c>
      <c r="E534" s="496" t="s">
        <v>1609</v>
      </c>
      <c r="F534" s="505">
        <f>'MCS Budget - Detailed'!N662</f>
        <v>16000</v>
      </c>
      <c r="G534" s="497" t="s">
        <v>448</v>
      </c>
    </row>
    <row r="535" spans="1:7" x14ac:dyDescent="0.2">
      <c r="A535" s="496" t="s">
        <v>2005</v>
      </c>
      <c r="B535" s="496" t="s">
        <v>40</v>
      </c>
      <c r="C535" s="496" t="s">
        <v>448</v>
      </c>
      <c r="D535" s="496" t="s">
        <v>1874</v>
      </c>
      <c r="E535" s="496" t="s">
        <v>1609</v>
      </c>
      <c r="F535" s="505">
        <f>'MCS Budget - Detailed'!N663</f>
        <v>2360</v>
      </c>
      <c r="G535" s="497" t="s">
        <v>448</v>
      </c>
    </row>
    <row r="536" spans="1:7" x14ac:dyDescent="0.2">
      <c r="A536" s="494" t="s">
        <v>2005</v>
      </c>
      <c r="B536" s="496" t="s">
        <v>40</v>
      </c>
      <c r="C536" s="496" t="s">
        <v>448</v>
      </c>
      <c r="D536" s="496" t="s">
        <v>1875</v>
      </c>
      <c r="E536" s="496" t="s">
        <v>1609</v>
      </c>
      <c r="F536" s="505">
        <f>'MCS Budget - Detailed'!N664</f>
        <v>0</v>
      </c>
      <c r="G536" s="497" t="s">
        <v>448</v>
      </c>
    </row>
    <row r="537" spans="1:7" x14ac:dyDescent="0.2">
      <c r="A537" s="496" t="s">
        <v>2005</v>
      </c>
      <c r="B537" s="496" t="s">
        <v>40</v>
      </c>
      <c r="C537" s="496" t="s">
        <v>448</v>
      </c>
      <c r="D537" s="496" t="s">
        <v>1876</v>
      </c>
      <c r="E537" s="496" t="s">
        <v>1609</v>
      </c>
      <c r="F537" s="505">
        <f>'MCS Budget - Detailed'!N666</f>
        <v>10950</v>
      </c>
      <c r="G537" s="497" t="s">
        <v>448</v>
      </c>
    </row>
    <row r="538" spans="1:7" x14ac:dyDescent="0.2">
      <c r="A538" s="494" t="s">
        <v>2005</v>
      </c>
      <c r="B538" s="496" t="s">
        <v>40</v>
      </c>
      <c r="C538" s="496" t="s">
        <v>448</v>
      </c>
      <c r="D538" s="496" t="s">
        <v>1877</v>
      </c>
      <c r="E538" s="496" t="s">
        <v>1609</v>
      </c>
      <c r="F538" s="505">
        <f>'MCS Budget - Detailed'!N668</f>
        <v>10600</v>
      </c>
      <c r="G538" s="497" t="s">
        <v>448</v>
      </c>
    </row>
    <row r="539" spans="1:7" x14ac:dyDescent="0.2">
      <c r="A539" s="496" t="s">
        <v>2005</v>
      </c>
      <c r="B539" s="496" t="s">
        <v>40</v>
      </c>
      <c r="C539" s="496" t="s">
        <v>448</v>
      </c>
      <c r="D539" s="496" t="s">
        <v>1878</v>
      </c>
      <c r="E539" s="496" t="s">
        <v>1609</v>
      </c>
      <c r="F539" s="505">
        <f>'MCS Budget - Detailed'!N670</f>
        <v>80314</v>
      </c>
      <c r="G539" s="497" t="s">
        <v>448</v>
      </c>
    </row>
    <row r="540" spans="1:7" x14ac:dyDescent="0.2">
      <c r="A540" s="496" t="s">
        <v>2005</v>
      </c>
      <c r="B540" s="496" t="s">
        <v>40</v>
      </c>
      <c r="C540" s="496" t="s">
        <v>448</v>
      </c>
      <c r="D540" s="496" t="s">
        <v>2697</v>
      </c>
      <c r="E540" s="496" t="s">
        <v>1609</v>
      </c>
      <c r="F540" s="505">
        <f>'MCS Budget - Detailed'!N671</f>
        <v>3000</v>
      </c>
      <c r="G540" s="497" t="s">
        <v>448</v>
      </c>
    </row>
    <row r="541" spans="1:7" x14ac:dyDescent="0.2">
      <c r="A541" s="494" t="s">
        <v>2005</v>
      </c>
      <c r="B541" s="496" t="s">
        <v>40</v>
      </c>
      <c r="C541" s="496" t="s">
        <v>448</v>
      </c>
      <c r="D541" s="496" t="s">
        <v>1879</v>
      </c>
      <c r="E541" s="496" t="s">
        <v>1609</v>
      </c>
      <c r="F541" s="505">
        <f>'MCS Budget - Detailed'!N672</f>
        <v>66</v>
      </c>
      <c r="G541" s="497" t="s">
        <v>448</v>
      </c>
    </row>
    <row r="542" spans="1:7" x14ac:dyDescent="0.2">
      <c r="A542" s="496" t="s">
        <v>2005</v>
      </c>
      <c r="B542" s="496" t="s">
        <v>40</v>
      </c>
      <c r="C542" s="496" t="s">
        <v>448</v>
      </c>
      <c r="D542" s="496" t="s">
        <v>1880</v>
      </c>
      <c r="E542" s="496" t="s">
        <v>1609</v>
      </c>
      <c r="F542" s="505">
        <f>'MCS Budget - Detailed'!N673</f>
        <v>264</v>
      </c>
      <c r="G542" s="497" t="s">
        <v>448</v>
      </c>
    </row>
    <row r="543" spans="1:7" x14ac:dyDescent="0.2">
      <c r="A543" s="494" t="s">
        <v>2005</v>
      </c>
      <c r="B543" s="496" t="s">
        <v>40</v>
      </c>
      <c r="C543" s="496" t="s">
        <v>448</v>
      </c>
      <c r="D543" s="496" t="s">
        <v>1881</v>
      </c>
      <c r="E543" s="496" t="s">
        <v>1609</v>
      </c>
      <c r="F543" s="505">
        <f>'MCS Budget - Detailed'!N674</f>
        <v>1272</v>
      </c>
      <c r="G543" s="497" t="s">
        <v>448</v>
      </c>
    </row>
    <row r="544" spans="1:7" x14ac:dyDescent="0.2">
      <c r="A544" s="496" t="s">
        <v>2005</v>
      </c>
      <c r="B544" s="496" t="s">
        <v>40</v>
      </c>
      <c r="C544" s="496" t="s">
        <v>448</v>
      </c>
      <c r="D544" s="496" t="s">
        <v>1882</v>
      </c>
      <c r="E544" s="496" t="s">
        <v>1609</v>
      </c>
      <c r="F544" s="505">
        <f>'MCS Budget - Detailed'!N675</f>
        <v>17891</v>
      </c>
      <c r="G544" s="497" t="s">
        <v>448</v>
      </c>
    </row>
    <row r="545" spans="1:7" x14ac:dyDescent="0.2">
      <c r="A545" s="494" t="s">
        <v>2005</v>
      </c>
      <c r="B545" s="496" t="s">
        <v>40</v>
      </c>
      <c r="C545" s="496" t="s">
        <v>448</v>
      </c>
      <c r="D545" s="496" t="s">
        <v>1883</v>
      </c>
      <c r="E545" s="496" t="s">
        <v>1609</v>
      </c>
      <c r="F545" s="505">
        <f>'MCS Budget - Detailed'!N676</f>
        <v>6169</v>
      </c>
      <c r="G545" s="497" t="s">
        <v>448</v>
      </c>
    </row>
    <row r="546" spans="1:7" x14ac:dyDescent="0.2">
      <c r="A546" s="494" t="s">
        <v>2005</v>
      </c>
      <c r="B546" s="496" t="s">
        <v>40</v>
      </c>
      <c r="C546" s="496" t="s">
        <v>448</v>
      </c>
      <c r="D546" s="496" t="s">
        <v>2650</v>
      </c>
      <c r="E546" s="496" t="s">
        <v>1609</v>
      </c>
      <c r="F546" s="505">
        <f>'MCS Budget - Detailed'!N677</f>
        <v>2409</v>
      </c>
      <c r="G546" s="497" t="s">
        <v>448</v>
      </c>
    </row>
    <row r="547" spans="1:7" x14ac:dyDescent="0.2">
      <c r="A547" s="496" t="s">
        <v>2005</v>
      </c>
      <c r="B547" s="496" t="s">
        <v>40</v>
      </c>
      <c r="C547" s="496" t="s">
        <v>448</v>
      </c>
      <c r="D547" s="496" t="s">
        <v>1884</v>
      </c>
      <c r="E547" s="496" t="s">
        <v>1609</v>
      </c>
      <c r="F547" s="505">
        <f>'MCS Budget - Detailed'!N678</f>
        <v>5400</v>
      </c>
      <c r="G547" s="497" t="s">
        <v>448</v>
      </c>
    </row>
    <row r="548" spans="1:7" x14ac:dyDescent="0.2">
      <c r="A548" s="496" t="s">
        <v>2005</v>
      </c>
      <c r="B548" s="496" t="s">
        <v>40</v>
      </c>
      <c r="C548" s="496" t="s">
        <v>448</v>
      </c>
      <c r="D548" s="496" t="s">
        <v>2651</v>
      </c>
      <c r="E548" s="496" t="s">
        <v>1609</v>
      </c>
      <c r="F548" s="505">
        <f>'MCS Budget - Detailed'!N679</f>
        <v>4600</v>
      </c>
      <c r="G548" s="497" t="s">
        <v>448</v>
      </c>
    </row>
    <row r="549" spans="1:7" x14ac:dyDescent="0.2">
      <c r="A549" s="496" t="s">
        <v>2005</v>
      </c>
      <c r="B549" s="496" t="s">
        <v>40</v>
      </c>
      <c r="C549" s="496" t="s">
        <v>448</v>
      </c>
      <c r="D549" s="496" t="s">
        <v>2652</v>
      </c>
      <c r="E549" s="496" t="s">
        <v>1609</v>
      </c>
      <c r="F549" s="505">
        <f>'MCS Budget - Detailed'!N680</f>
        <v>1500</v>
      </c>
      <c r="G549" s="497" t="s">
        <v>448</v>
      </c>
    </row>
    <row r="550" spans="1:7" x14ac:dyDescent="0.2">
      <c r="A550" s="496" t="s">
        <v>2005</v>
      </c>
      <c r="B550" s="496" t="s">
        <v>40</v>
      </c>
      <c r="C550" s="496" t="s">
        <v>448</v>
      </c>
      <c r="D550" s="496" t="s">
        <v>1885</v>
      </c>
      <c r="E550" s="496" t="s">
        <v>1609</v>
      </c>
      <c r="F550" s="505">
        <f>'MCS Budget - Detailed'!N681</f>
        <v>12000</v>
      </c>
      <c r="G550" s="497" t="s">
        <v>448</v>
      </c>
    </row>
    <row r="551" spans="1:7" x14ac:dyDescent="0.2">
      <c r="A551" s="494" t="s">
        <v>2005</v>
      </c>
      <c r="B551" s="496" t="s">
        <v>40</v>
      </c>
      <c r="C551" s="496" t="s">
        <v>448</v>
      </c>
      <c r="D551" s="496" t="s">
        <v>1886</v>
      </c>
      <c r="E551" s="496" t="s">
        <v>1609</v>
      </c>
      <c r="F551" s="505">
        <f>'MCS Budget - Detailed'!N682</f>
        <v>1000</v>
      </c>
      <c r="G551" s="497" t="s">
        <v>448</v>
      </c>
    </row>
    <row r="552" spans="1:7" x14ac:dyDescent="0.2">
      <c r="A552" s="496" t="s">
        <v>2005</v>
      </c>
      <c r="B552" s="496" t="s">
        <v>40</v>
      </c>
      <c r="C552" s="496" t="s">
        <v>448</v>
      </c>
      <c r="D552" s="496" t="s">
        <v>1887</v>
      </c>
      <c r="E552" s="496" t="s">
        <v>1609</v>
      </c>
      <c r="F552" s="505">
        <f>'MCS Budget - Detailed'!N683</f>
        <v>3000</v>
      </c>
      <c r="G552" s="497" t="s">
        <v>448</v>
      </c>
    </row>
    <row r="553" spans="1:7" x14ac:dyDescent="0.2">
      <c r="A553" s="494" t="s">
        <v>2005</v>
      </c>
      <c r="B553" s="496" t="s">
        <v>40</v>
      </c>
      <c r="C553" s="496" t="s">
        <v>448</v>
      </c>
      <c r="D553" s="496" t="s">
        <v>1888</v>
      </c>
      <c r="E553" s="496" t="s">
        <v>1609</v>
      </c>
      <c r="F553" s="505">
        <f>'MCS Budget - Detailed'!N685</f>
        <v>1200</v>
      </c>
      <c r="G553" s="497" t="s">
        <v>448</v>
      </c>
    </row>
    <row r="554" spans="1:7" x14ac:dyDescent="0.2">
      <c r="A554" s="494" t="s">
        <v>2005</v>
      </c>
      <c r="B554" s="496" t="s">
        <v>40</v>
      </c>
      <c r="C554" s="496" t="s">
        <v>448</v>
      </c>
      <c r="D554" s="496" t="s">
        <v>1889</v>
      </c>
      <c r="E554" s="496" t="s">
        <v>1609</v>
      </c>
      <c r="F554" s="505">
        <f>'MCS Budget - Detailed'!N687</f>
        <v>1000</v>
      </c>
      <c r="G554" s="497" t="s">
        <v>448</v>
      </c>
    </row>
    <row r="555" spans="1:7" x14ac:dyDescent="0.2">
      <c r="A555" s="496" t="s">
        <v>2005</v>
      </c>
      <c r="B555" s="496" t="s">
        <v>40</v>
      </c>
      <c r="C555" s="496" t="s">
        <v>448</v>
      </c>
      <c r="D555" s="496" t="s">
        <v>1890</v>
      </c>
      <c r="E555" s="496" t="s">
        <v>1609</v>
      </c>
      <c r="F555" s="505">
        <f>'MCS Budget - Detailed'!N688</f>
        <v>500</v>
      </c>
      <c r="G555" s="497" t="s">
        <v>448</v>
      </c>
    </row>
    <row r="556" spans="1:7" x14ac:dyDescent="0.2">
      <c r="A556" s="496" t="s">
        <v>2005</v>
      </c>
      <c r="B556" s="496" t="s">
        <v>40</v>
      </c>
      <c r="C556" s="496" t="s">
        <v>448</v>
      </c>
      <c r="D556" s="496" t="s">
        <v>2119</v>
      </c>
      <c r="E556" s="496" t="s">
        <v>1609</v>
      </c>
      <c r="F556" s="505">
        <f>'MCS Budget - Detailed'!N690</f>
        <v>4155</v>
      </c>
      <c r="G556" s="497" t="s">
        <v>448</v>
      </c>
    </row>
    <row r="557" spans="1:7" x14ac:dyDescent="0.2">
      <c r="A557" s="496" t="s">
        <v>2005</v>
      </c>
      <c r="B557" s="496" t="s">
        <v>40</v>
      </c>
      <c r="C557" s="496" t="s">
        <v>448</v>
      </c>
      <c r="D557" s="496" t="s">
        <v>2120</v>
      </c>
      <c r="E557" s="496" t="s">
        <v>1609</v>
      </c>
      <c r="F557" s="505">
        <f>'MCS Budget - Detailed'!N691</f>
        <v>1936</v>
      </c>
      <c r="G557" s="497" t="s">
        <v>448</v>
      </c>
    </row>
    <row r="558" spans="1:7" x14ac:dyDescent="0.2">
      <c r="A558" s="496" t="s">
        <v>2005</v>
      </c>
      <c r="B558" s="496" t="s">
        <v>40</v>
      </c>
      <c r="C558" s="496" t="s">
        <v>448</v>
      </c>
      <c r="D558" s="496" t="s">
        <v>2121</v>
      </c>
      <c r="E558" s="496" t="s">
        <v>1609</v>
      </c>
      <c r="F558" s="505">
        <f>'MCS Budget - Detailed'!N692</f>
        <v>1095</v>
      </c>
      <c r="G558" s="497" t="s">
        <v>448</v>
      </c>
    </row>
    <row r="559" spans="1:7" x14ac:dyDescent="0.2">
      <c r="A559" s="494" t="s">
        <v>2005</v>
      </c>
      <c r="B559" s="496" t="s">
        <v>40</v>
      </c>
      <c r="C559" s="496" t="s">
        <v>448</v>
      </c>
      <c r="D559" s="496" t="s">
        <v>2122</v>
      </c>
      <c r="E559" s="496" t="s">
        <v>1609</v>
      </c>
      <c r="F559" s="505">
        <f>'MCS Budget - Detailed'!N694</f>
        <v>7072</v>
      </c>
      <c r="G559" s="497" t="s">
        <v>448</v>
      </c>
    </row>
    <row r="560" spans="1:7" x14ac:dyDescent="0.2">
      <c r="A560" s="494" t="s">
        <v>2005</v>
      </c>
      <c r="B560" s="496" t="s">
        <v>40</v>
      </c>
      <c r="C560" s="496" t="s">
        <v>448</v>
      </c>
      <c r="D560" s="496" t="s">
        <v>2123</v>
      </c>
      <c r="E560" s="496" t="s">
        <v>1609</v>
      </c>
      <c r="F560" s="505">
        <f>'MCS Budget - Detailed'!N695</f>
        <v>18738</v>
      </c>
      <c r="G560" s="497" t="s">
        <v>1756</v>
      </c>
    </row>
    <row r="561" spans="1:7" x14ac:dyDescent="0.2">
      <c r="A561" s="494" t="s">
        <v>2005</v>
      </c>
      <c r="B561" s="496" t="s">
        <v>40</v>
      </c>
      <c r="C561" s="496" t="s">
        <v>448</v>
      </c>
      <c r="D561" s="496" t="s">
        <v>2653</v>
      </c>
      <c r="E561" s="496" t="s">
        <v>1609</v>
      </c>
      <c r="F561" s="505">
        <f>'MCS Budget - Detailed'!N696</f>
        <v>164</v>
      </c>
      <c r="G561" s="497" t="s">
        <v>1756</v>
      </c>
    </row>
    <row r="562" spans="1:7" x14ac:dyDescent="0.2">
      <c r="A562" s="494" t="s">
        <v>2005</v>
      </c>
      <c r="B562" s="496" t="s">
        <v>40</v>
      </c>
      <c r="C562" s="496" t="s">
        <v>448</v>
      </c>
      <c r="D562" s="496" t="s">
        <v>2696</v>
      </c>
      <c r="E562" s="496" t="s">
        <v>1609</v>
      </c>
      <c r="F562" s="505">
        <f>'MCS Budget - Detailed'!N698</f>
        <v>3750</v>
      </c>
      <c r="G562" s="497" t="s">
        <v>448</v>
      </c>
    </row>
    <row r="563" spans="1:7" x14ac:dyDescent="0.2">
      <c r="A563" s="494" t="s">
        <v>2005</v>
      </c>
      <c r="B563" s="496" t="s">
        <v>40</v>
      </c>
      <c r="C563" s="496" t="s">
        <v>448</v>
      </c>
      <c r="D563" s="496" t="s">
        <v>2124</v>
      </c>
      <c r="E563" s="496" t="s">
        <v>1609</v>
      </c>
      <c r="F563" s="505">
        <f>'MCS Budget - Detailed'!N699</f>
        <v>13</v>
      </c>
      <c r="G563" s="497" t="s">
        <v>448</v>
      </c>
    </row>
    <row r="564" spans="1:7" x14ac:dyDescent="0.2">
      <c r="A564" s="494" t="s">
        <v>2005</v>
      </c>
      <c r="B564" s="496" t="s">
        <v>40</v>
      </c>
      <c r="C564" s="496" t="s">
        <v>448</v>
      </c>
      <c r="D564" s="496" t="s">
        <v>2125</v>
      </c>
      <c r="E564" s="496" t="s">
        <v>1609</v>
      </c>
      <c r="F564" s="505">
        <f>'MCS Budget - Detailed'!N700</f>
        <v>33</v>
      </c>
      <c r="G564" s="497" t="s">
        <v>1756</v>
      </c>
    </row>
    <row r="565" spans="1:7" x14ac:dyDescent="0.2">
      <c r="A565" s="494" t="s">
        <v>2005</v>
      </c>
      <c r="B565" s="496" t="s">
        <v>40</v>
      </c>
      <c r="C565" s="496" t="s">
        <v>448</v>
      </c>
      <c r="D565" s="496" t="s">
        <v>2126</v>
      </c>
      <c r="E565" s="496" t="s">
        <v>1609</v>
      </c>
      <c r="F565" s="505">
        <f>'MCS Budget - Detailed'!N701</f>
        <v>19</v>
      </c>
      <c r="G565" s="497" t="s">
        <v>448</v>
      </c>
    </row>
    <row r="566" spans="1:7" x14ac:dyDescent="0.2">
      <c r="A566" s="494" t="s">
        <v>2005</v>
      </c>
      <c r="B566" s="496" t="s">
        <v>40</v>
      </c>
      <c r="C566" s="496" t="s">
        <v>448</v>
      </c>
      <c r="D566" s="496" t="s">
        <v>2127</v>
      </c>
      <c r="E566" s="496" t="s">
        <v>1609</v>
      </c>
      <c r="F566" s="505">
        <f>'MCS Budget - Detailed'!N702</f>
        <v>54</v>
      </c>
      <c r="G566" s="497" t="s">
        <v>1756</v>
      </c>
    </row>
    <row r="567" spans="1:7" x14ac:dyDescent="0.2">
      <c r="A567" s="494" t="s">
        <v>2005</v>
      </c>
      <c r="B567" s="496" t="s">
        <v>40</v>
      </c>
      <c r="C567" s="496" t="s">
        <v>448</v>
      </c>
      <c r="D567" s="496" t="s">
        <v>2654</v>
      </c>
      <c r="E567" s="496" t="s">
        <v>1609</v>
      </c>
      <c r="F567" s="505">
        <f>'MCS Budget - Detailed'!N704</f>
        <v>15</v>
      </c>
      <c r="G567" s="497" t="s">
        <v>448</v>
      </c>
    </row>
    <row r="568" spans="1:7" x14ac:dyDescent="0.2">
      <c r="A568" s="494" t="s">
        <v>2005</v>
      </c>
      <c r="B568" s="496" t="s">
        <v>40</v>
      </c>
      <c r="C568" s="496" t="s">
        <v>448</v>
      </c>
      <c r="D568" s="496" t="s">
        <v>2128</v>
      </c>
      <c r="E568" s="496" t="s">
        <v>1609</v>
      </c>
      <c r="F568" s="505">
        <f>'MCS Budget - Detailed'!N705</f>
        <v>84</v>
      </c>
      <c r="G568" s="497" t="s">
        <v>448</v>
      </c>
    </row>
    <row r="569" spans="1:7" x14ac:dyDescent="0.2">
      <c r="A569" s="494" t="s">
        <v>2005</v>
      </c>
      <c r="B569" s="496" t="s">
        <v>40</v>
      </c>
      <c r="C569" s="496" t="s">
        <v>448</v>
      </c>
      <c r="D569" s="496" t="s">
        <v>2129</v>
      </c>
      <c r="E569" s="496" t="s">
        <v>1609</v>
      </c>
      <c r="F569" s="505">
        <f>'MCS Budget - Detailed'!N706</f>
        <v>263</v>
      </c>
      <c r="G569" s="497" t="s">
        <v>1756</v>
      </c>
    </row>
    <row r="570" spans="1:7" x14ac:dyDescent="0.2">
      <c r="A570" s="494" t="s">
        <v>2005</v>
      </c>
      <c r="B570" s="496" t="s">
        <v>40</v>
      </c>
      <c r="C570" s="496" t="s">
        <v>448</v>
      </c>
      <c r="D570" s="496" t="s">
        <v>2655</v>
      </c>
      <c r="E570" s="496" t="s">
        <v>1609</v>
      </c>
      <c r="F570" s="505">
        <f>'MCS Budget - Detailed'!N708</f>
        <v>45</v>
      </c>
      <c r="G570" s="497" t="s">
        <v>448</v>
      </c>
    </row>
    <row r="571" spans="1:7" x14ac:dyDescent="0.2">
      <c r="A571" s="494" t="s">
        <v>2005</v>
      </c>
      <c r="B571" s="496" t="s">
        <v>40</v>
      </c>
      <c r="C571" s="496" t="s">
        <v>448</v>
      </c>
      <c r="D571" s="496" t="s">
        <v>2131</v>
      </c>
      <c r="E571" s="496" t="s">
        <v>1609</v>
      </c>
      <c r="F571" s="505">
        <f>'MCS Budget - Detailed'!N709</f>
        <v>1200</v>
      </c>
      <c r="G571" s="497" t="s">
        <v>448</v>
      </c>
    </row>
    <row r="572" spans="1:7" x14ac:dyDescent="0.2">
      <c r="A572" s="494" t="s">
        <v>2005</v>
      </c>
      <c r="B572" s="496" t="s">
        <v>40</v>
      </c>
      <c r="C572" s="496" t="s">
        <v>448</v>
      </c>
      <c r="D572" s="496" t="s">
        <v>2130</v>
      </c>
      <c r="E572" s="496" t="s">
        <v>1609</v>
      </c>
      <c r="F572" s="505">
        <f>'MCS Budget - Detailed'!N710</f>
        <v>3653</v>
      </c>
      <c r="G572" s="497" t="s">
        <v>1756</v>
      </c>
    </row>
    <row r="573" spans="1:7" x14ac:dyDescent="0.2">
      <c r="A573" s="494" t="s">
        <v>2005</v>
      </c>
      <c r="B573" s="496" t="s">
        <v>40</v>
      </c>
      <c r="C573" s="496" t="s">
        <v>448</v>
      </c>
      <c r="D573" s="496" t="s">
        <v>2656</v>
      </c>
      <c r="E573" s="496" t="s">
        <v>1609</v>
      </c>
      <c r="F573" s="505">
        <f>'MCS Budget - Detailed'!N712</f>
        <v>690</v>
      </c>
      <c r="G573" s="497" t="s">
        <v>448</v>
      </c>
    </row>
    <row r="574" spans="1:7" x14ac:dyDescent="0.2">
      <c r="A574" s="494" t="s">
        <v>2005</v>
      </c>
      <c r="B574" s="496" t="s">
        <v>40</v>
      </c>
      <c r="C574" s="496" t="s">
        <v>448</v>
      </c>
      <c r="D574" s="496" t="s">
        <v>2132</v>
      </c>
      <c r="E574" s="496" t="s">
        <v>1609</v>
      </c>
      <c r="F574" s="505">
        <f>'MCS Budget - Detailed'!N713</f>
        <v>1213</v>
      </c>
      <c r="G574" s="497" t="s">
        <v>448</v>
      </c>
    </row>
    <row r="575" spans="1:7" x14ac:dyDescent="0.2">
      <c r="A575" s="494" t="s">
        <v>2005</v>
      </c>
      <c r="B575" s="496" t="s">
        <v>40</v>
      </c>
      <c r="C575" s="496" t="s">
        <v>448</v>
      </c>
      <c r="D575" s="496" t="s">
        <v>2133</v>
      </c>
      <c r="E575" s="496" t="s">
        <v>1609</v>
      </c>
      <c r="F575" s="505">
        <f>'MCS Budget - Detailed'!N714</f>
        <v>3085</v>
      </c>
      <c r="G575" s="497" t="s">
        <v>1756</v>
      </c>
    </row>
    <row r="576" spans="1:7" x14ac:dyDescent="0.2">
      <c r="A576" s="494" t="s">
        <v>2005</v>
      </c>
      <c r="B576" s="496" t="s">
        <v>40</v>
      </c>
      <c r="C576" s="496" t="s">
        <v>448</v>
      </c>
      <c r="D576" s="496" t="s">
        <v>2657</v>
      </c>
      <c r="E576" s="496" t="s">
        <v>1609</v>
      </c>
      <c r="F576" s="505">
        <f>'MCS Budget - Detailed'!N715</f>
        <v>774</v>
      </c>
      <c r="G576" s="497" t="s">
        <v>1756</v>
      </c>
    </row>
    <row r="577" spans="1:7" x14ac:dyDescent="0.2">
      <c r="A577" s="494" t="s">
        <v>2005</v>
      </c>
      <c r="B577" s="496" t="s">
        <v>40</v>
      </c>
      <c r="C577" s="496" t="s">
        <v>448</v>
      </c>
      <c r="D577" s="496" t="s">
        <v>2658</v>
      </c>
      <c r="E577" s="496" t="s">
        <v>1609</v>
      </c>
      <c r="F577" s="505">
        <f>'MCS Budget - Detailed'!N717</f>
        <v>3380</v>
      </c>
      <c r="G577" s="497" t="s">
        <v>1756</v>
      </c>
    </row>
    <row r="578" spans="1:7" x14ac:dyDescent="0.2">
      <c r="A578" s="494" t="s">
        <v>2005</v>
      </c>
      <c r="B578" s="496" t="s">
        <v>40</v>
      </c>
      <c r="C578" s="496" t="s">
        <v>448</v>
      </c>
      <c r="D578" s="496" t="s">
        <v>2659</v>
      </c>
      <c r="E578" s="496" t="s">
        <v>1609</v>
      </c>
      <c r="F578" s="505">
        <f>'MCS Budget - Detailed'!N718</f>
        <v>1010</v>
      </c>
      <c r="G578" s="497" t="s">
        <v>1756</v>
      </c>
    </row>
    <row r="579" spans="1:7" x14ac:dyDescent="0.2">
      <c r="A579" s="494" t="s">
        <v>2005</v>
      </c>
      <c r="B579" s="496" t="s">
        <v>40</v>
      </c>
      <c r="C579" s="496" t="s">
        <v>448</v>
      </c>
      <c r="D579" s="496" t="s">
        <v>2660</v>
      </c>
      <c r="E579" s="496" t="s">
        <v>1609</v>
      </c>
      <c r="F579" s="505">
        <f>'MCS Budget - Detailed'!N719</f>
        <v>9526</v>
      </c>
      <c r="G579" s="497" t="s">
        <v>1756</v>
      </c>
    </row>
    <row r="580" spans="1:7" x14ac:dyDescent="0.2">
      <c r="A580" s="494" t="s">
        <v>2005</v>
      </c>
      <c r="B580" s="496" t="s">
        <v>40</v>
      </c>
      <c r="C580" s="496" t="s">
        <v>448</v>
      </c>
      <c r="D580" s="496" t="s">
        <v>2661</v>
      </c>
      <c r="E580" s="496" t="s">
        <v>1609</v>
      </c>
      <c r="F580" s="505">
        <f>'MCS Budget - Detailed'!N720</f>
        <v>1050</v>
      </c>
      <c r="G580" s="497" t="s">
        <v>1756</v>
      </c>
    </row>
    <row r="581" spans="1:7" x14ac:dyDescent="0.2">
      <c r="A581" s="494" t="s">
        <v>2005</v>
      </c>
      <c r="B581" s="496" t="s">
        <v>40</v>
      </c>
      <c r="C581" s="496" t="s">
        <v>448</v>
      </c>
      <c r="D581" s="496" t="s">
        <v>2662</v>
      </c>
      <c r="E581" s="496" t="s">
        <v>1609</v>
      </c>
      <c r="F581" s="505">
        <f>'MCS Budget - Detailed'!N721</f>
        <v>5000</v>
      </c>
      <c r="G581" s="497" t="s">
        <v>1756</v>
      </c>
    </row>
    <row r="582" spans="1:7" x14ac:dyDescent="0.2">
      <c r="A582" s="494" t="s">
        <v>2005</v>
      </c>
      <c r="B582" s="496" t="s">
        <v>40</v>
      </c>
      <c r="C582" s="496" t="s">
        <v>448</v>
      </c>
      <c r="D582" s="496" t="s">
        <v>2134</v>
      </c>
      <c r="E582" s="496" t="s">
        <v>1609</v>
      </c>
      <c r="F582" s="505">
        <f>'MCS Budget - Detailed'!N723</f>
        <v>4485</v>
      </c>
      <c r="G582" s="497" t="s">
        <v>448</v>
      </c>
    </row>
    <row r="583" spans="1:7" x14ac:dyDescent="0.2">
      <c r="A583" s="494" t="s">
        <v>2005</v>
      </c>
      <c r="B583" s="496" t="s">
        <v>40</v>
      </c>
      <c r="C583" s="496" t="s">
        <v>448</v>
      </c>
      <c r="D583" s="496" t="s">
        <v>2135</v>
      </c>
      <c r="E583" s="496" t="s">
        <v>1609</v>
      </c>
      <c r="F583" s="505">
        <f>'MCS Budget - Detailed'!N724</f>
        <v>8</v>
      </c>
      <c r="G583" s="497" t="s">
        <v>448</v>
      </c>
    </row>
    <row r="584" spans="1:7" x14ac:dyDescent="0.2">
      <c r="A584" s="494" t="s">
        <v>2005</v>
      </c>
      <c r="B584" s="496" t="s">
        <v>40</v>
      </c>
      <c r="C584" s="496" t="s">
        <v>448</v>
      </c>
      <c r="D584" s="496" t="s">
        <v>2136</v>
      </c>
      <c r="E584" s="496" t="s">
        <v>1609</v>
      </c>
      <c r="F584" s="505">
        <f>'MCS Budget - Detailed'!N725</f>
        <v>14</v>
      </c>
      <c r="G584" s="497" t="s">
        <v>448</v>
      </c>
    </row>
    <row r="585" spans="1:7" x14ac:dyDescent="0.2">
      <c r="A585" s="494" t="s">
        <v>2005</v>
      </c>
      <c r="B585" s="496" t="s">
        <v>40</v>
      </c>
      <c r="C585" s="496" t="s">
        <v>448</v>
      </c>
      <c r="D585" s="496" t="s">
        <v>2137</v>
      </c>
      <c r="E585" s="496" t="s">
        <v>1609</v>
      </c>
      <c r="F585" s="505">
        <f>'MCS Budget - Detailed'!N726</f>
        <v>65</v>
      </c>
      <c r="G585" s="497" t="s">
        <v>448</v>
      </c>
    </row>
    <row r="586" spans="1:7" x14ac:dyDescent="0.2">
      <c r="A586" s="494" t="s">
        <v>2005</v>
      </c>
      <c r="B586" s="496" t="s">
        <v>40</v>
      </c>
      <c r="C586" s="496" t="s">
        <v>448</v>
      </c>
      <c r="D586" s="496" t="s">
        <v>2138</v>
      </c>
      <c r="E586" s="496" t="s">
        <v>1609</v>
      </c>
      <c r="F586" s="505">
        <f>'MCS Budget - Detailed'!N727</f>
        <v>915</v>
      </c>
      <c r="G586" s="497" t="s">
        <v>448</v>
      </c>
    </row>
    <row r="587" spans="1:7" x14ac:dyDescent="0.2">
      <c r="A587" s="494" t="s">
        <v>2005</v>
      </c>
      <c r="B587" s="496" t="s">
        <v>40</v>
      </c>
      <c r="C587" s="496" t="s">
        <v>448</v>
      </c>
      <c r="D587" s="496" t="s">
        <v>2139</v>
      </c>
      <c r="E587" s="496" t="s">
        <v>1609</v>
      </c>
      <c r="F587" s="505">
        <f>'MCS Budget - Detailed'!N728</f>
        <v>767</v>
      </c>
      <c r="G587" s="497" t="s">
        <v>448</v>
      </c>
    </row>
    <row r="588" spans="1:7" x14ac:dyDescent="0.2">
      <c r="A588" s="494" t="s">
        <v>2005</v>
      </c>
      <c r="B588" s="496" t="s">
        <v>40</v>
      </c>
      <c r="C588" s="496" t="s">
        <v>448</v>
      </c>
      <c r="D588" s="496" t="s">
        <v>2663</v>
      </c>
      <c r="E588" s="496" t="s">
        <v>1609</v>
      </c>
      <c r="F588" s="505">
        <f>'MCS Budget - Detailed'!N729</f>
        <v>135</v>
      </c>
      <c r="G588" s="497" t="s">
        <v>448</v>
      </c>
    </row>
    <row r="589" spans="1:7" x14ac:dyDescent="0.2">
      <c r="A589" s="494" t="s">
        <v>2005</v>
      </c>
      <c r="B589" s="496" t="s">
        <v>40</v>
      </c>
      <c r="C589" s="496" t="s">
        <v>448</v>
      </c>
      <c r="D589" s="496" t="s">
        <v>1891</v>
      </c>
      <c r="E589" s="496" t="s">
        <v>1609</v>
      </c>
      <c r="F589" s="505">
        <f>'MCS Budget - Detailed'!N731</f>
        <v>88928</v>
      </c>
      <c r="G589" s="497" t="s">
        <v>448</v>
      </c>
    </row>
    <row r="590" spans="1:7" x14ac:dyDescent="0.2">
      <c r="A590" s="494" t="s">
        <v>2005</v>
      </c>
      <c r="B590" s="496" t="s">
        <v>40</v>
      </c>
      <c r="C590" s="496" t="s">
        <v>448</v>
      </c>
      <c r="D590" s="496" t="s">
        <v>2140</v>
      </c>
      <c r="E590" s="496" t="s">
        <v>1609</v>
      </c>
      <c r="F590" s="505">
        <f>'MCS Budget - Detailed'!N732</f>
        <v>1640</v>
      </c>
      <c r="G590" s="497" t="s">
        <v>448</v>
      </c>
    </row>
    <row r="591" spans="1:7" x14ac:dyDescent="0.2">
      <c r="A591" s="494" t="s">
        <v>2005</v>
      </c>
      <c r="B591" s="496" t="s">
        <v>40</v>
      </c>
      <c r="C591" s="496" t="s">
        <v>448</v>
      </c>
      <c r="D591" s="496" t="s">
        <v>2141</v>
      </c>
      <c r="E591" s="496" t="s">
        <v>1609</v>
      </c>
      <c r="F591" s="505">
        <f>'MCS Budget - Detailed'!N733</f>
        <v>2228</v>
      </c>
      <c r="G591" s="497" t="s">
        <v>1756</v>
      </c>
    </row>
    <row r="592" spans="1:7" x14ac:dyDescent="0.2">
      <c r="A592" s="496" t="s">
        <v>2005</v>
      </c>
      <c r="B592" s="496" t="s">
        <v>40</v>
      </c>
      <c r="C592" s="496" t="s">
        <v>448</v>
      </c>
      <c r="D592" s="496" t="s">
        <v>1892</v>
      </c>
      <c r="E592" s="496" t="s">
        <v>1609</v>
      </c>
      <c r="F592" s="505">
        <f>'MCS Budget - Detailed'!N734</f>
        <v>132</v>
      </c>
      <c r="G592" s="497" t="s">
        <v>448</v>
      </c>
    </row>
    <row r="593" spans="1:7" x14ac:dyDescent="0.2">
      <c r="A593" s="494" t="s">
        <v>2005</v>
      </c>
      <c r="B593" s="496" t="s">
        <v>40</v>
      </c>
      <c r="C593" s="496" t="s">
        <v>448</v>
      </c>
      <c r="D593" s="496" t="s">
        <v>1893</v>
      </c>
      <c r="E593" s="496" t="s">
        <v>1609</v>
      </c>
      <c r="F593" s="505">
        <f>'MCS Budget - Detailed'!N735</f>
        <v>291</v>
      </c>
      <c r="G593" s="497" t="s">
        <v>448</v>
      </c>
    </row>
    <row r="594" spans="1:7" x14ac:dyDescent="0.2">
      <c r="A594" s="494" t="s">
        <v>2005</v>
      </c>
      <c r="B594" s="496" t="s">
        <v>40</v>
      </c>
      <c r="C594" s="496" t="s">
        <v>448</v>
      </c>
      <c r="D594" s="496" t="s">
        <v>2142</v>
      </c>
      <c r="E594" s="496" t="s">
        <v>1609</v>
      </c>
      <c r="F594" s="505">
        <f>'MCS Budget - Detailed'!N736</f>
        <v>4</v>
      </c>
      <c r="G594" s="497" t="s">
        <v>448</v>
      </c>
    </row>
    <row r="595" spans="1:7" x14ac:dyDescent="0.2">
      <c r="A595" s="494" t="s">
        <v>2005</v>
      </c>
      <c r="B595" s="496" t="s">
        <v>40</v>
      </c>
      <c r="C595" s="496" t="s">
        <v>448</v>
      </c>
      <c r="D595" s="496" t="s">
        <v>2143</v>
      </c>
      <c r="E595" s="496" t="s">
        <v>1609</v>
      </c>
      <c r="F595" s="505">
        <f>'MCS Budget - Detailed'!N737</f>
        <v>6</v>
      </c>
      <c r="G595" s="497" t="s">
        <v>1756</v>
      </c>
    </row>
    <row r="596" spans="1:7" x14ac:dyDescent="0.2">
      <c r="A596" s="496" t="s">
        <v>2005</v>
      </c>
      <c r="B596" s="496" t="s">
        <v>40</v>
      </c>
      <c r="C596" s="496" t="s">
        <v>448</v>
      </c>
      <c r="D596" s="496" t="s">
        <v>1894</v>
      </c>
      <c r="E596" s="496" t="s">
        <v>1609</v>
      </c>
      <c r="F596" s="505">
        <f>'MCS Budget - Detailed'!N738</f>
        <v>1406</v>
      </c>
      <c r="G596" s="497" t="s">
        <v>448</v>
      </c>
    </row>
    <row r="597" spans="1:7" x14ac:dyDescent="0.2">
      <c r="A597" s="494" t="s">
        <v>2005</v>
      </c>
      <c r="B597" s="496" t="s">
        <v>40</v>
      </c>
      <c r="C597" s="496" t="s">
        <v>448</v>
      </c>
      <c r="D597" s="496" t="s">
        <v>2144</v>
      </c>
      <c r="E597" s="496" t="s">
        <v>1609</v>
      </c>
      <c r="F597" s="505">
        <f>'MCS Budget - Detailed'!N739</f>
        <v>21</v>
      </c>
      <c r="G597" s="497" t="s">
        <v>448</v>
      </c>
    </row>
    <row r="598" spans="1:7" x14ac:dyDescent="0.2">
      <c r="A598" s="494" t="s">
        <v>2005</v>
      </c>
      <c r="B598" s="496" t="s">
        <v>40</v>
      </c>
      <c r="C598" s="496" t="s">
        <v>448</v>
      </c>
      <c r="D598" s="496" t="s">
        <v>2145</v>
      </c>
      <c r="E598" s="496" t="s">
        <v>1609</v>
      </c>
      <c r="F598" s="505">
        <f>'MCS Budget - Detailed'!N740</f>
        <v>29</v>
      </c>
      <c r="G598" s="497" t="s">
        <v>1756</v>
      </c>
    </row>
    <row r="599" spans="1:7" x14ac:dyDescent="0.2">
      <c r="A599" s="494" t="s">
        <v>2005</v>
      </c>
      <c r="B599" s="496" t="s">
        <v>40</v>
      </c>
      <c r="C599" s="496" t="s">
        <v>448</v>
      </c>
      <c r="D599" s="496" t="s">
        <v>1895</v>
      </c>
      <c r="E599" s="496" t="s">
        <v>1609</v>
      </c>
      <c r="F599" s="505">
        <f>'MCS Budget - Detailed'!N741</f>
        <v>19774</v>
      </c>
      <c r="G599" s="497" t="s">
        <v>448</v>
      </c>
    </row>
    <row r="600" spans="1:7" x14ac:dyDescent="0.2">
      <c r="A600" s="494" t="s">
        <v>2005</v>
      </c>
      <c r="B600" s="496" t="s">
        <v>40</v>
      </c>
      <c r="C600" s="496" t="s">
        <v>448</v>
      </c>
      <c r="D600" s="496" t="s">
        <v>2146</v>
      </c>
      <c r="E600" s="496" t="s">
        <v>1609</v>
      </c>
      <c r="F600" s="505">
        <f>'MCS Budget - Detailed'!N742</f>
        <v>297</v>
      </c>
      <c r="G600" s="497" t="s">
        <v>448</v>
      </c>
    </row>
    <row r="601" spans="1:7" x14ac:dyDescent="0.2">
      <c r="A601" s="494" t="s">
        <v>2005</v>
      </c>
      <c r="B601" s="496" t="s">
        <v>40</v>
      </c>
      <c r="C601" s="496" t="s">
        <v>448</v>
      </c>
      <c r="D601" s="496" t="s">
        <v>2147</v>
      </c>
      <c r="E601" s="496" t="s">
        <v>1609</v>
      </c>
      <c r="F601" s="505">
        <f>'MCS Budget - Detailed'!N743</f>
        <v>403</v>
      </c>
      <c r="G601" s="497" t="s">
        <v>1756</v>
      </c>
    </row>
    <row r="602" spans="1:7" x14ac:dyDescent="0.2">
      <c r="A602" s="496" t="s">
        <v>2005</v>
      </c>
      <c r="B602" s="496" t="s">
        <v>40</v>
      </c>
      <c r="C602" s="496" t="s">
        <v>448</v>
      </c>
      <c r="D602" s="496" t="s">
        <v>1896</v>
      </c>
      <c r="E602" s="496" t="s">
        <v>1609</v>
      </c>
      <c r="F602" s="505">
        <f>'MCS Budget - Detailed'!N744</f>
        <v>12264</v>
      </c>
      <c r="G602" s="497" t="s">
        <v>448</v>
      </c>
    </row>
    <row r="603" spans="1:7" x14ac:dyDescent="0.2">
      <c r="A603" s="496" t="s">
        <v>2005</v>
      </c>
      <c r="B603" s="496" t="s">
        <v>40</v>
      </c>
      <c r="C603" s="496" t="s">
        <v>448</v>
      </c>
      <c r="D603" s="496" t="s">
        <v>2664</v>
      </c>
      <c r="E603" s="496" t="s">
        <v>1609</v>
      </c>
      <c r="F603" s="505">
        <f>'MCS Budget - Detailed'!N745</f>
        <v>2668</v>
      </c>
      <c r="G603" s="497" t="s">
        <v>448</v>
      </c>
    </row>
    <row r="604" spans="1:7" x14ac:dyDescent="0.2">
      <c r="A604" s="494" t="s">
        <v>2005</v>
      </c>
      <c r="B604" s="496" t="s">
        <v>40</v>
      </c>
      <c r="C604" s="496" t="s">
        <v>448</v>
      </c>
      <c r="D604" s="496" t="s">
        <v>1897</v>
      </c>
      <c r="E604" s="496" t="s">
        <v>1609</v>
      </c>
      <c r="F604" s="505">
        <f>'MCS Budget - Detailed'!N746</f>
        <v>1600</v>
      </c>
      <c r="G604" s="497" t="s">
        <v>448</v>
      </c>
    </row>
    <row r="605" spans="1:7" x14ac:dyDescent="0.2">
      <c r="A605" s="496" t="s">
        <v>2005</v>
      </c>
      <c r="B605" s="496" t="s">
        <v>40</v>
      </c>
      <c r="C605" s="496" t="s">
        <v>448</v>
      </c>
      <c r="D605" s="496" t="s">
        <v>1898</v>
      </c>
      <c r="E605" s="496" t="s">
        <v>1609</v>
      </c>
      <c r="F605" s="505">
        <f>'MCS Budget - Detailed'!N747</f>
        <v>19000</v>
      </c>
      <c r="G605" s="497" t="s">
        <v>448</v>
      </c>
    </row>
    <row r="606" spans="1:7" x14ac:dyDescent="0.2">
      <c r="A606" s="496" t="s">
        <v>2005</v>
      </c>
      <c r="B606" s="496" t="s">
        <v>40</v>
      </c>
      <c r="C606" s="496" t="s">
        <v>448</v>
      </c>
      <c r="D606" s="496" t="s">
        <v>1899</v>
      </c>
      <c r="E606" s="496" t="s">
        <v>1609</v>
      </c>
      <c r="F606" s="505">
        <f>'MCS Budget - Detailed'!N750</f>
        <v>2000</v>
      </c>
      <c r="G606" s="497" t="s">
        <v>448</v>
      </c>
    </row>
    <row r="607" spans="1:7" x14ac:dyDescent="0.2">
      <c r="A607" s="494" t="s">
        <v>2005</v>
      </c>
      <c r="B607" s="496" t="s">
        <v>40</v>
      </c>
      <c r="C607" s="496" t="s">
        <v>448</v>
      </c>
      <c r="D607" s="496" t="s">
        <v>1900</v>
      </c>
      <c r="E607" s="496" t="s">
        <v>1609</v>
      </c>
      <c r="F607" s="505">
        <f>'MCS Budget - Detailed'!N751</f>
        <v>1000</v>
      </c>
      <c r="G607" s="497" t="s">
        <v>448</v>
      </c>
    </row>
    <row r="608" spans="1:7" x14ac:dyDescent="0.2">
      <c r="A608" s="496" t="s">
        <v>2005</v>
      </c>
      <c r="B608" s="496" t="s">
        <v>40</v>
      </c>
      <c r="C608" s="496" t="s">
        <v>448</v>
      </c>
      <c r="D608" s="496" t="s">
        <v>1901</v>
      </c>
      <c r="E608" s="496" t="s">
        <v>1609</v>
      </c>
      <c r="F608" s="505">
        <f>'MCS Budget - Detailed'!N753</f>
        <v>800</v>
      </c>
      <c r="G608" s="497" t="s">
        <v>448</v>
      </c>
    </row>
    <row r="609" spans="1:7" x14ac:dyDescent="0.2">
      <c r="A609" s="494" t="s">
        <v>2005</v>
      </c>
      <c r="B609" s="496" t="s">
        <v>40</v>
      </c>
      <c r="C609" s="496" t="s">
        <v>448</v>
      </c>
      <c r="D609" s="496" t="s">
        <v>2148</v>
      </c>
      <c r="E609" s="496" t="s">
        <v>1609</v>
      </c>
      <c r="F609" s="505">
        <f>'MCS Budget - Detailed'!N754</f>
        <v>8000</v>
      </c>
      <c r="G609" s="497" t="s">
        <v>448</v>
      </c>
    </row>
    <row r="610" spans="1:7" x14ac:dyDescent="0.2">
      <c r="A610" s="494" t="s">
        <v>2005</v>
      </c>
      <c r="B610" s="496" t="s">
        <v>40</v>
      </c>
      <c r="C610" s="496" t="s">
        <v>448</v>
      </c>
      <c r="D610" s="496" t="s">
        <v>1902</v>
      </c>
      <c r="E610" s="496" t="s">
        <v>1609</v>
      </c>
      <c r="F610" s="505">
        <f>'MCS Budget - Detailed'!N757</f>
        <v>38587</v>
      </c>
      <c r="G610" s="499" t="s">
        <v>448</v>
      </c>
    </row>
    <row r="611" spans="1:7" x14ac:dyDescent="0.2">
      <c r="A611" s="496" t="s">
        <v>2005</v>
      </c>
      <c r="B611" s="496" t="s">
        <v>40</v>
      </c>
      <c r="C611" s="496" t="s">
        <v>448</v>
      </c>
      <c r="D611" s="496" t="s">
        <v>1903</v>
      </c>
      <c r="E611" s="496" t="s">
        <v>1609</v>
      </c>
      <c r="F611" s="505">
        <f>'MCS Budget - Detailed'!N758</f>
        <v>54</v>
      </c>
      <c r="G611" s="497" t="s">
        <v>448</v>
      </c>
    </row>
    <row r="612" spans="1:7" x14ac:dyDescent="0.2">
      <c r="A612" s="494" t="s">
        <v>2005</v>
      </c>
      <c r="B612" s="496" t="s">
        <v>40</v>
      </c>
      <c r="C612" s="496" t="s">
        <v>448</v>
      </c>
      <c r="D612" s="496" t="s">
        <v>1904</v>
      </c>
      <c r="E612" s="496" t="s">
        <v>1609</v>
      </c>
      <c r="F612" s="505">
        <f>'MCS Budget - Detailed'!N759</f>
        <v>116</v>
      </c>
      <c r="G612" s="497" t="s">
        <v>448</v>
      </c>
    </row>
    <row r="613" spans="1:7" x14ac:dyDescent="0.2">
      <c r="A613" s="496" t="s">
        <v>2005</v>
      </c>
      <c r="B613" s="496" t="s">
        <v>40</v>
      </c>
      <c r="C613" s="496" t="s">
        <v>448</v>
      </c>
      <c r="D613" s="496" t="s">
        <v>1905</v>
      </c>
      <c r="E613" s="496" t="s">
        <v>1609</v>
      </c>
      <c r="F613" s="505">
        <f>'MCS Budget - Detailed'!N760</f>
        <v>560</v>
      </c>
      <c r="G613" s="497" t="s">
        <v>448</v>
      </c>
    </row>
    <row r="614" spans="1:7" x14ac:dyDescent="0.2">
      <c r="A614" s="494" t="s">
        <v>2005</v>
      </c>
      <c r="B614" s="496" t="s">
        <v>40</v>
      </c>
      <c r="C614" s="496" t="s">
        <v>448</v>
      </c>
      <c r="D614" s="496" t="s">
        <v>1906</v>
      </c>
      <c r="E614" s="496" t="s">
        <v>1609</v>
      </c>
      <c r="F614" s="505">
        <f>'MCS Budget - Detailed'!N761</f>
        <v>7872</v>
      </c>
      <c r="G614" s="497" t="s">
        <v>448</v>
      </c>
    </row>
    <row r="615" spans="1:7" x14ac:dyDescent="0.2">
      <c r="A615" s="496" t="s">
        <v>2005</v>
      </c>
      <c r="B615" s="496" t="s">
        <v>40</v>
      </c>
      <c r="C615" s="496" t="s">
        <v>448</v>
      </c>
      <c r="D615" s="496" t="s">
        <v>1907</v>
      </c>
      <c r="E615" s="496" t="s">
        <v>1609</v>
      </c>
      <c r="F615" s="505">
        <f>'MCS Budget - Detailed'!N762</f>
        <v>4983</v>
      </c>
      <c r="G615" s="497" t="s">
        <v>448</v>
      </c>
    </row>
    <row r="616" spans="1:7" x14ac:dyDescent="0.2">
      <c r="A616" s="496" t="s">
        <v>2005</v>
      </c>
      <c r="B616" s="496" t="s">
        <v>40</v>
      </c>
      <c r="C616" s="496" t="s">
        <v>448</v>
      </c>
      <c r="D616" s="496" t="s">
        <v>2665</v>
      </c>
      <c r="E616" s="496" t="s">
        <v>1609</v>
      </c>
      <c r="F616" s="505">
        <f>'MCS Budget - Detailed'!N763</f>
        <v>1158</v>
      </c>
      <c r="G616" s="497" t="s">
        <v>448</v>
      </c>
    </row>
    <row r="617" spans="1:7" x14ac:dyDescent="0.2">
      <c r="A617" s="494" t="s">
        <v>2005</v>
      </c>
      <c r="B617" s="496" t="s">
        <v>40</v>
      </c>
      <c r="C617" s="496" t="s">
        <v>448</v>
      </c>
      <c r="D617" s="496" t="s">
        <v>1908</v>
      </c>
      <c r="E617" s="496" t="s">
        <v>1609</v>
      </c>
      <c r="F617" s="505">
        <f>'MCS Budget - Detailed'!N764</f>
        <v>9500</v>
      </c>
      <c r="G617" s="497" t="s">
        <v>448</v>
      </c>
    </row>
    <row r="618" spans="1:7" x14ac:dyDescent="0.2">
      <c r="A618" s="496" t="s">
        <v>2005</v>
      </c>
      <c r="B618" s="496" t="s">
        <v>40</v>
      </c>
      <c r="C618" s="496" t="s">
        <v>448</v>
      </c>
      <c r="D618" s="496" t="s">
        <v>1909</v>
      </c>
      <c r="E618" s="496" t="s">
        <v>1609</v>
      </c>
      <c r="F618" s="505">
        <f>'MCS Budget - Detailed'!N765</f>
        <v>8500</v>
      </c>
      <c r="G618" s="497" t="s">
        <v>448</v>
      </c>
    </row>
    <row r="619" spans="1:7" x14ac:dyDescent="0.2">
      <c r="A619" s="494" t="s">
        <v>2005</v>
      </c>
      <c r="B619" s="496" t="s">
        <v>40</v>
      </c>
      <c r="C619" s="496" t="s">
        <v>448</v>
      </c>
      <c r="D619" s="496" t="s">
        <v>1910</v>
      </c>
      <c r="E619" s="496" t="s">
        <v>1609</v>
      </c>
      <c r="F619" s="505">
        <f>'MCS Budget - Detailed'!N766</f>
        <v>8500</v>
      </c>
      <c r="G619" s="497" t="s">
        <v>448</v>
      </c>
    </row>
    <row r="620" spans="1:7" x14ac:dyDescent="0.2">
      <c r="A620" s="496" t="s">
        <v>2005</v>
      </c>
      <c r="B620" s="496" t="s">
        <v>40</v>
      </c>
      <c r="C620" s="496" t="s">
        <v>448</v>
      </c>
      <c r="D620" s="496" t="s">
        <v>1911</v>
      </c>
      <c r="E620" s="496" t="s">
        <v>1609</v>
      </c>
      <c r="F620" s="505">
        <f>'MCS Budget - Detailed'!N767</f>
        <v>10000</v>
      </c>
      <c r="G620" s="497" t="s">
        <v>448</v>
      </c>
    </row>
    <row r="621" spans="1:7" x14ac:dyDescent="0.2">
      <c r="A621" s="496" t="s">
        <v>2005</v>
      </c>
      <c r="B621" s="496" t="s">
        <v>40</v>
      </c>
      <c r="C621" s="496" t="s">
        <v>448</v>
      </c>
      <c r="D621" s="496" t="s">
        <v>2666</v>
      </c>
      <c r="E621" s="496" t="s">
        <v>1609</v>
      </c>
      <c r="F621" s="505">
        <f>'MCS Budget - Detailed'!N768</f>
        <v>14000</v>
      </c>
      <c r="G621" s="497" t="s">
        <v>448</v>
      </c>
    </row>
    <row r="622" spans="1:7" x14ac:dyDescent="0.2">
      <c r="A622" s="494" t="s">
        <v>2005</v>
      </c>
      <c r="B622" s="496" t="s">
        <v>40</v>
      </c>
      <c r="C622" s="496" t="s">
        <v>448</v>
      </c>
      <c r="D622" s="496" t="s">
        <v>2149</v>
      </c>
      <c r="E622" s="496" t="s">
        <v>1609</v>
      </c>
      <c r="F622" s="505">
        <f>'MCS Budget - Detailed'!N772</f>
        <v>46601</v>
      </c>
      <c r="G622" s="497" t="s">
        <v>448</v>
      </c>
    </row>
    <row r="623" spans="1:7" x14ac:dyDescent="0.2">
      <c r="A623" s="494" t="s">
        <v>2005</v>
      </c>
      <c r="B623" s="496" t="s">
        <v>40</v>
      </c>
      <c r="C623" s="496" t="s">
        <v>448</v>
      </c>
      <c r="D623" s="496" t="s">
        <v>1912</v>
      </c>
      <c r="E623" s="496" t="s">
        <v>1609</v>
      </c>
      <c r="F623" s="505">
        <f>'MCS Budget - Detailed'!N773</f>
        <v>34600</v>
      </c>
      <c r="G623" s="497" t="s">
        <v>448</v>
      </c>
    </row>
    <row r="624" spans="1:7" x14ac:dyDescent="0.2">
      <c r="A624" s="496" t="s">
        <v>2005</v>
      </c>
      <c r="B624" s="496" t="s">
        <v>40</v>
      </c>
      <c r="C624" s="496" t="s">
        <v>448</v>
      </c>
      <c r="D624" s="496" t="s">
        <v>1913</v>
      </c>
      <c r="E624" s="496" t="s">
        <v>1609</v>
      </c>
      <c r="F624" s="505">
        <f>'MCS Budget - Detailed'!N774</f>
        <v>36056</v>
      </c>
      <c r="G624" s="497" t="s">
        <v>448</v>
      </c>
    </row>
    <row r="625" spans="1:7" x14ac:dyDescent="0.2">
      <c r="A625" s="494" t="s">
        <v>2005</v>
      </c>
      <c r="B625" s="496" t="s">
        <v>40</v>
      </c>
      <c r="C625" s="496" t="s">
        <v>448</v>
      </c>
      <c r="D625" s="496" t="s">
        <v>2150</v>
      </c>
      <c r="E625" s="496" t="s">
        <v>1609</v>
      </c>
      <c r="F625" s="505">
        <f>'MCS Budget - Detailed'!N775</f>
        <v>66</v>
      </c>
      <c r="G625" s="497" t="s">
        <v>448</v>
      </c>
    </row>
    <row r="626" spans="1:7" x14ac:dyDescent="0.2">
      <c r="A626" s="494" t="s">
        <v>2005</v>
      </c>
      <c r="B626" s="496" t="s">
        <v>40</v>
      </c>
      <c r="C626" s="496" t="s">
        <v>448</v>
      </c>
      <c r="D626" s="496" t="s">
        <v>1914</v>
      </c>
      <c r="E626" s="496" t="s">
        <v>1609</v>
      </c>
      <c r="F626" s="505">
        <f>'MCS Budget - Detailed'!N776</f>
        <v>4</v>
      </c>
      <c r="G626" s="497" t="s">
        <v>448</v>
      </c>
    </row>
    <row r="627" spans="1:7" x14ac:dyDescent="0.2">
      <c r="A627" s="496" t="s">
        <v>2005</v>
      </c>
      <c r="B627" s="496" t="s">
        <v>40</v>
      </c>
      <c r="C627" s="496" t="s">
        <v>448</v>
      </c>
      <c r="D627" s="496" t="s">
        <v>1915</v>
      </c>
      <c r="E627" s="496" t="s">
        <v>1609</v>
      </c>
      <c r="F627" s="505">
        <f>'MCS Budget - Detailed'!N777</f>
        <v>66</v>
      </c>
      <c r="G627" s="497" t="s">
        <v>448</v>
      </c>
    </row>
    <row r="628" spans="1:7" x14ac:dyDescent="0.2">
      <c r="A628" s="494" t="s">
        <v>2005</v>
      </c>
      <c r="B628" s="496" t="s">
        <v>40</v>
      </c>
      <c r="C628" s="496" t="s">
        <v>448</v>
      </c>
      <c r="D628" s="496" t="s">
        <v>2151</v>
      </c>
      <c r="E628" s="496" t="s">
        <v>1609</v>
      </c>
      <c r="F628" s="505">
        <f>'MCS Budget - Detailed'!N778</f>
        <v>140</v>
      </c>
      <c r="G628" s="497" t="s">
        <v>448</v>
      </c>
    </row>
    <row r="629" spans="1:7" x14ac:dyDescent="0.2">
      <c r="A629" s="494" t="s">
        <v>2005</v>
      </c>
      <c r="B629" s="496" t="s">
        <v>40</v>
      </c>
      <c r="C629" s="496" t="s">
        <v>448</v>
      </c>
      <c r="D629" s="496" t="s">
        <v>1916</v>
      </c>
      <c r="E629" s="496" t="s">
        <v>1609</v>
      </c>
      <c r="F629" s="505">
        <f>'MCS Budget - Detailed'!N779</f>
        <v>104</v>
      </c>
      <c r="G629" s="497" t="s">
        <v>448</v>
      </c>
    </row>
    <row r="630" spans="1:7" x14ac:dyDescent="0.2">
      <c r="A630" s="496" t="s">
        <v>2005</v>
      </c>
      <c r="B630" s="496" t="s">
        <v>40</v>
      </c>
      <c r="C630" s="496" t="s">
        <v>448</v>
      </c>
      <c r="D630" s="496" t="s">
        <v>1917</v>
      </c>
      <c r="E630" s="496" t="s">
        <v>1609</v>
      </c>
      <c r="F630" s="505">
        <f>'MCS Budget - Detailed'!N780</f>
        <v>109</v>
      </c>
      <c r="G630" s="497" t="s">
        <v>448</v>
      </c>
    </row>
    <row r="631" spans="1:7" x14ac:dyDescent="0.2">
      <c r="A631" s="494" t="s">
        <v>2005</v>
      </c>
      <c r="B631" s="496" t="s">
        <v>40</v>
      </c>
      <c r="C631" s="496" t="s">
        <v>448</v>
      </c>
      <c r="D631" s="496" t="s">
        <v>2153</v>
      </c>
      <c r="E631" s="496" t="s">
        <v>1609</v>
      </c>
      <c r="F631" s="505">
        <f>'MCS Budget - Detailed'!N781</f>
        <v>676</v>
      </c>
      <c r="G631" s="497" t="s">
        <v>448</v>
      </c>
    </row>
    <row r="632" spans="1:7" x14ac:dyDescent="0.2">
      <c r="A632" s="494" t="s">
        <v>2005</v>
      </c>
      <c r="B632" s="496" t="s">
        <v>40</v>
      </c>
      <c r="C632" s="496" t="s">
        <v>448</v>
      </c>
      <c r="D632" s="496" t="s">
        <v>1918</v>
      </c>
      <c r="E632" s="496" t="s">
        <v>1609</v>
      </c>
      <c r="F632" s="505">
        <f>'MCS Budget - Detailed'!N782</f>
        <v>502</v>
      </c>
      <c r="G632" s="497" t="s">
        <v>448</v>
      </c>
    </row>
    <row r="633" spans="1:7" x14ac:dyDescent="0.2">
      <c r="A633" s="496" t="s">
        <v>2005</v>
      </c>
      <c r="B633" s="496" t="s">
        <v>40</v>
      </c>
      <c r="C633" s="496" t="s">
        <v>448</v>
      </c>
      <c r="D633" s="496" t="s">
        <v>1919</v>
      </c>
      <c r="E633" s="496" t="s">
        <v>1609</v>
      </c>
      <c r="F633" s="505">
        <f>'MCS Budget - Detailed'!N783</f>
        <v>523</v>
      </c>
      <c r="G633" s="497" t="s">
        <v>448</v>
      </c>
    </row>
    <row r="634" spans="1:7" x14ac:dyDescent="0.2">
      <c r="A634" s="494" t="s">
        <v>2005</v>
      </c>
      <c r="B634" s="496" t="s">
        <v>40</v>
      </c>
      <c r="C634" s="496" t="s">
        <v>448</v>
      </c>
      <c r="D634" s="496" t="s">
        <v>2152</v>
      </c>
      <c r="E634" s="496" t="s">
        <v>1609</v>
      </c>
      <c r="F634" s="505">
        <f>'MCS Budget - Detailed'!N784</f>
        <v>9507</v>
      </c>
      <c r="G634" s="497" t="s">
        <v>448</v>
      </c>
    </row>
    <row r="635" spans="1:7" x14ac:dyDescent="0.2">
      <c r="A635" s="494" t="s">
        <v>2005</v>
      </c>
      <c r="B635" s="496" t="s">
        <v>40</v>
      </c>
      <c r="C635" s="496" t="s">
        <v>448</v>
      </c>
      <c r="D635" s="496" t="s">
        <v>1920</v>
      </c>
      <c r="E635" s="496" t="s">
        <v>1609</v>
      </c>
      <c r="F635" s="505">
        <f>'MCS Budget - Detailed'!N785</f>
        <v>7059</v>
      </c>
      <c r="G635" s="497" t="s">
        <v>448</v>
      </c>
    </row>
    <row r="636" spans="1:7" x14ac:dyDescent="0.2">
      <c r="A636" s="496" t="s">
        <v>2005</v>
      </c>
      <c r="B636" s="496" t="s">
        <v>40</v>
      </c>
      <c r="C636" s="496" t="s">
        <v>448</v>
      </c>
      <c r="D636" s="496" t="s">
        <v>1921</v>
      </c>
      <c r="E636" s="496" t="s">
        <v>1609</v>
      </c>
      <c r="F636" s="505">
        <f>'MCS Budget - Detailed'!N786</f>
        <v>7356</v>
      </c>
      <c r="G636" s="497" t="s">
        <v>448</v>
      </c>
    </row>
    <row r="637" spans="1:7" x14ac:dyDescent="0.2">
      <c r="A637" s="494" t="s">
        <v>2005</v>
      </c>
      <c r="B637" s="496" t="s">
        <v>40</v>
      </c>
      <c r="C637" s="496" t="s">
        <v>448</v>
      </c>
      <c r="D637" s="496" t="s">
        <v>2154</v>
      </c>
      <c r="E637" s="496" t="s">
        <v>1609</v>
      </c>
      <c r="F637" s="505">
        <f>'MCS Budget - Detailed'!N787</f>
        <v>6169</v>
      </c>
      <c r="G637" s="497" t="s">
        <v>448</v>
      </c>
    </row>
    <row r="638" spans="1:7" x14ac:dyDescent="0.2">
      <c r="A638" s="494" t="s">
        <v>2005</v>
      </c>
      <c r="B638" s="496" t="s">
        <v>40</v>
      </c>
      <c r="C638" s="496" t="s">
        <v>448</v>
      </c>
      <c r="D638" s="496" t="s">
        <v>1922</v>
      </c>
      <c r="E638" s="496" t="s">
        <v>1609</v>
      </c>
      <c r="F638" s="505">
        <f>'MCS Budget - Detailed'!N788</f>
        <v>2</v>
      </c>
      <c r="G638" s="497" t="s">
        <v>448</v>
      </c>
    </row>
    <row r="639" spans="1:7" x14ac:dyDescent="0.2">
      <c r="A639" s="496" t="s">
        <v>2005</v>
      </c>
      <c r="B639" s="496" t="s">
        <v>40</v>
      </c>
      <c r="C639" s="496" t="s">
        <v>448</v>
      </c>
      <c r="D639" s="496" t="s">
        <v>1923</v>
      </c>
      <c r="E639" s="496" t="s">
        <v>1609</v>
      </c>
      <c r="F639" s="505">
        <f>'MCS Budget - Detailed'!N789</f>
        <v>6169</v>
      </c>
      <c r="G639" s="497" t="s">
        <v>448</v>
      </c>
    </row>
    <row r="640" spans="1:7" x14ac:dyDescent="0.2">
      <c r="A640" s="496" t="s">
        <v>2005</v>
      </c>
      <c r="B640" s="496" t="s">
        <v>40</v>
      </c>
      <c r="C640" s="496" t="s">
        <v>448</v>
      </c>
      <c r="D640" s="496" t="s">
        <v>2667</v>
      </c>
      <c r="E640" s="496" t="s">
        <v>1609</v>
      </c>
      <c r="F640" s="505">
        <f>'MCS Budget - Detailed'!N790</f>
        <v>1398</v>
      </c>
      <c r="G640" s="497" t="s">
        <v>448</v>
      </c>
    </row>
    <row r="641" spans="1:7" x14ac:dyDescent="0.2">
      <c r="A641" s="496" t="s">
        <v>2005</v>
      </c>
      <c r="B641" s="496" t="s">
        <v>40</v>
      </c>
      <c r="C641" s="496" t="s">
        <v>448</v>
      </c>
      <c r="D641" s="496" t="s">
        <v>2668</v>
      </c>
      <c r="E641" s="496" t="s">
        <v>1609</v>
      </c>
      <c r="F641" s="505">
        <f>'MCS Budget - Detailed'!N791</f>
        <v>1020</v>
      </c>
      <c r="G641" s="497" t="s">
        <v>448</v>
      </c>
    </row>
    <row r="642" spans="1:7" x14ac:dyDescent="0.2">
      <c r="A642" s="496" t="s">
        <v>2005</v>
      </c>
      <c r="B642" s="496" t="s">
        <v>40</v>
      </c>
      <c r="C642" s="496" t="s">
        <v>448</v>
      </c>
      <c r="D642" s="496" t="s">
        <v>2669</v>
      </c>
      <c r="E642" s="496" t="s">
        <v>1609</v>
      </c>
      <c r="F642" s="505">
        <f>'MCS Budget - Detailed'!N792</f>
        <v>1082</v>
      </c>
      <c r="G642" s="497" t="s">
        <v>448</v>
      </c>
    </row>
    <row r="643" spans="1:7" x14ac:dyDescent="0.2">
      <c r="A643" s="494" t="s">
        <v>2005</v>
      </c>
      <c r="B643" s="496" t="s">
        <v>40</v>
      </c>
      <c r="C643" s="496" t="s">
        <v>448</v>
      </c>
      <c r="D643" s="496" t="s">
        <v>1924</v>
      </c>
      <c r="E643" s="496" t="s">
        <v>1609</v>
      </c>
      <c r="F643" s="505">
        <f>'MCS Budget - Detailed'!N793</f>
        <v>25000</v>
      </c>
      <c r="G643" s="497" t="s">
        <v>448</v>
      </c>
    </row>
    <row r="644" spans="1:7" x14ac:dyDescent="0.2">
      <c r="A644" s="496" t="s">
        <v>2005</v>
      </c>
      <c r="B644" s="496" t="s">
        <v>40</v>
      </c>
      <c r="C644" s="496" t="s">
        <v>448</v>
      </c>
      <c r="D644" s="496" t="s">
        <v>1925</v>
      </c>
      <c r="E644" s="496" t="s">
        <v>1609</v>
      </c>
      <c r="F644" s="505">
        <f>'MCS Budget - Detailed'!N795</f>
        <v>7000</v>
      </c>
      <c r="G644" s="497" t="s">
        <v>448</v>
      </c>
    </row>
    <row r="645" spans="1:7" x14ac:dyDescent="0.2">
      <c r="A645" s="494" t="s">
        <v>2005</v>
      </c>
      <c r="B645" s="496" t="s">
        <v>40</v>
      </c>
      <c r="C645" s="496" t="s">
        <v>448</v>
      </c>
      <c r="D645" s="496" t="s">
        <v>1926</v>
      </c>
      <c r="E645" s="496" t="s">
        <v>1609</v>
      </c>
      <c r="F645" s="505">
        <f>'MCS Budget - Detailed'!N796</f>
        <v>6000</v>
      </c>
      <c r="G645" s="497" t="s">
        <v>448</v>
      </c>
    </row>
    <row r="646" spans="1:7" x14ac:dyDescent="0.2">
      <c r="A646" s="496" t="s">
        <v>2005</v>
      </c>
      <c r="B646" s="496" t="s">
        <v>40</v>
      </c>
      <c r="C646" s="496" t="s">
        <v>448</v>
      </c>
      <c r="D646" s="496" t="s">
        <v>2155</v>
      </c>
      <c r="E646" s="496" t="s">
        <v>1609</v>
      </c>
      <c r="F646" s="505">
        <f>'MCS Budget - Detailed'!N797</f>
        <v>100</v>
      </c>
      <c r="G646" s="497" t="s">
        <v>448</v>
      </c>
    </row>
    <row r="647" spans="1:7" x14ac:dyDescent="0.2">
      <c r="A647" s="496" t="s">
        <v>2005</v>
      </c>
      <c r="B647" s="496" t="s">
        <v>40</v>
      </c>
      <c r="C647" s="496" t="s">
        <v>448</v>
      </c>
      <c r="D647" s="496" t="s">
        <v>2156</v>
      </c>
      <c r="E647" s="496" t="s">
        <v>1609</v>
      </c>
      <c r="F647" s="505">
        <f>'MCS Budget - Detailed'!N798</f>
        <v>250</v>
      </c>
      <c r="G647" s="497" t="s">
        <v>448</v>
      </c>
    </row>
    <row r="648" spans="1:7" x14ac:dyDescent="0.2">
      <c r="A648" s="496" t="s">
        <v>2005</v>
      </c>
      <c r="B648" s="496" t="s">
        <v>40</v>
      </c>
      <c r="C648" s="496" t="s">
        <v>448</v>
      </c>
      <c r="D648" s="496" t="s">
        <v>1927</v>
      </c>
      <c r="E648" s="496" t="s">
        <v>1609</v>
      </c>
      <c r="F648" s="505">
        <f>'MCS Budget - Detailed'!N799</f>
        <v>18500</v>
      </c>
      <c r="G648" s="497" t="s">
        <v>448</v>
      </c>
    </row>
    <row r="649" spans="1:7" x14ac:dyDescent="0.2">
      <c r="A649" s="494" t="s">
        <v>2005</v>
      </c>
      <c r="B649" s="496" t="s">
        <v>40</v>
      </c>
      <c r="C649" s="496" t="s">
        <v>448</v>
      </c>
      <c r="D649" s="496" t="s">
        <v>1928</v>
      </c>
      <c r="E649" s="496" t="s">
        <v>1609</v>
      </c>
      <c r="F649" s="505">
        <f>'MCS Budget - Detailed'!N800</f>
        <v>27000</v>
      </c>
      <c r="G649" s="497" t="s">
        <v>448</v>
      </c>
    </row>
    <row r="650" spans="1:7" x14ac:dyDescent="0.2">
      <c r="A650" s="496" t="s">
        <v>2005</v>
      </c>
      <c r="B650" s="496" t="s">
        <v>40</v>
      </c>
      <c r="C650" s="496" t="s">
        <v>448</v>
      </c>
      <c r="D650" s="496" t="s">
        <v>1929</v>
      </c>
      <c r="E650" s="496" t="s">
        <v>1609</v>
      </c>
      <c r="F650" s="505">
        <f>'MCS Budget - Detailed'!N801</f>
        <v>50000</v>
      </c>
      <c r="G650" s="497" t="s">
        <v>448</v>
      </c>
    </row>
    <row r="651" spans="1:7" x14ac:dyDescent="0.2">
      <c r="A651" s="494" t="s">
        <v>2005</v>
      </c>
      <c r="B651" s="496" t="s">
        <v>40</v>
      </c>
      <c r="C651" s="496" t="s">
        <v>448</v>
      </c>
      <c r="D651" s="496" t="s">
        <v>1930</v>
      </c>
      <c r="E651" s="496" t="s">
        <v>1609</v>
      </c>
      <c r="F651" s="505">
        <f>'MCS Budget - Detailed'!N802</f>
        <v>4000</v>
      </c>
      <c r="G651" s="497" t="s">
        <v>448</v>
      </c>
    </row>
    <row r="652" spans="1:7" x14ac:dyDescent="0.2">
      <c r="A652" s="496" t="s">
        <v>2005</v>
      </c>
      <c r="B652" s="496" t="s">
        <v>40</v>
      </c>
      <c r="C652" s="496" t="s">
        <v>448</v>
      </c>
      <c r="D652" s="496" t="s">
        <v>1931</v>
      </c>
      <c r="E652" s="496" t="s">
        <v>1609</v>
      </c>
      <c r="F652" s="505">
        <f>'MCS Budget - Detailed'!N807</f>
        <v>61200</v>
      </c>
      <c r="G652" s="497" t="s">
        <v>448</v>
      </c>
    </row>
    <row r="653" spans="1:7" x14ac:dyDescent="0.2">
      <c r="A653" s="494" t="s">
        <v>2005</v>
      </c>
      <c r="B653" s="496" t="s">
        <v>40</v>
      </c>
      <c r="C653" s="496" t="s">
        <v>448</v>
      </c>
      <c r="D653" s="496" t="s">
        <v>1932</v>
      </c>
      <c r="E653" s="496" t="s">
        <v>1609</v>
      </c>
      <c r="F653" s="505">
        <f>'MCS Budget - Detailed'!N808</f>
        <v>46601</v>
      </c>
      <c r="G653" s="497" t="s">
        <v>448</v>
      </c>
    </row>
    <row r="654" spans="1:7" x14ac:dyDescent="0.2">
      <c r="A654" s="496" t="s">
        <v>2005</v>
      </c>
      <c r="B654" s="496" t="s">
        <v>40</v>
      </c>
      <c r="C654" s="496" t="s">
        <v>448</v>
      </c>
      <c r="D654" s="496" t="s">
        <v>2157</v>
      </c>
      <c r="E654" s="496" t="s">
        <v>1609</v>
      </c>
      <c r="F654" s="505">
        <f>'MCS Budget - Detailed'!N809</f>
        <v>1822</v>
      </c>
      <c r="G654" s="497" t="s">
        <v>448</v>
      </c>
    </row>
    <row r="655" spans="1:7" x14ac:dyDescent="0.2">
      <c r="A655" s="496" t="s">
        <v>2005</v>
      </c>
      <c r="B655" s="496" t="s">
        <v>40</v>
      </c>
      <c r="C655" s="496" t="s">
        <v>448</v>
      </c>
      <c r="D655" s="496" t="s">
        <v>1933</v>
      </c>
      <c r="E655" s="496" t="s">
        <v>1609</v>
      </c>
      <c r="F655" s="505">
        <f>'MCS Budget - Detailed'!N810</f>
        <v>229</v>
      </c>
      <c r="G655" s="497" t="s">
        <v>448</v>
      </c>
    </row>
    <row r="656" spans="1:7" x14ac:dyDescent="0.2">
      <c r="A656" s="494" t="s">
        <v>2005</v>
      </c>
      <c r="B656" s="496" t="s">
        <v>40</v>
      </c>
      <c r="C656" s="496" t="s">
        <v>448</v>
      </c>
      <c r="D656" s="496" t="s">
        <v>1934</v>
      </c>
      <c r="E656" s="496" t="s">
        <v>1609</v>
      </c>
      <c r="F656" s="505">
        <f>'MCS Budget - Detailed'!N811</f>
        <v>66</v>
      </c>
      <c r="G656" s="497" t="s">
        <v>448</v>
      </c>
    </row>
    <row r="657" spans="1:7" x14ac:dyDescent="0.2">
      <c r="A657" s="496" t="s">
        <v>2005</v>
      </c>
      <c r="B657" s="496" t="s">
        <v>40</v>
      </c>
      <c r="C657" s="496" t="s">
        <v>448</v>
      </c>
      <c r="D657" s="496" t="s">
        <v>1935</v>
      </c>
      <c r="E657" s="496" t="s">
        <v>1609</v>
      </c>
      <c r="F657" s="505">
        <f>'MCS Budget - Detailed'!N812</f>
        <v>184</v>
      </c>
      <c r="G657" s="497" t="s">
        <v>448</v>
      </c>
    </row>
    <row r="658" spans="1:7" x14ac:dyDescent="0.2">
      <c r="A658" s="494" t="s">
        <v>2005</v>
      </c>
      <c r="B658" s="496" t="s">
        <v>40</v>
      </c>
      <c r="C658" s="496" t="s">
        <v>448</v>
      </c>
      <c r="D658" s="496" t="s">
        <v>1936</v>
      </c>
      <c r="E658" s="496" t="s">
        <v>1609</v>
      </c>
      <c r="F658" s="505">
        <f>'MCS Budget - Detailed'!N813</f>
        <v>140</v>
      </c>
      <c r="G658" s="497" t="s">
        <v>448</v>
      </c>
    </row>
    <row r="659" spans="1:7" x14ac:dyDescent="0.2">
      <c r="A659" s="494" t="s">
        <v>2005</v>
      </c>
      <c r="B659" s="496" t="s">
        <v>40</v>
      </c>
      <c r="C659" s="496" t="s">
        <v>448</v>
      </c>
      <c r="D659" s="496" t="s">
        <v>2158</v>
      </c>
      <c r="E659" s="496" t="s">
        <v>1609</v>
      </c>
      <c r="F659" s="505">
        <f>'MCS Budget - Detailed'!N814</f>
        <v>5</v>
      </c>
      <c r="G659" s="497" t="s">
        <v>448</v>
      </c>
    </row>
    <row r="660" spans="1:7" x14ac:dyDescent="0.2">
      <c r="A660" s="496" t="s">
        <v>2005</v>
      </c>
      <c r="B660" s="496" t="s">
        <v>40</v>
      </c>
      <c r="C660" s="496" t="s">
        <v>448</v>
      </c>
      <c r="D660" s="496" t="s">
        <v>1937</v>
      </c>
      <c r="E660" s="496" t="s">
        <v>1609</v>
      </c>
      <c r="F660" s="505">
        <f>'MCS Budget - Detailed'!N815</f>
        <v>888</v>
      </c>
      <c r="G660" s="497" t="s">
        <v>448</v>
      </c>
    </row>
    <row r="661" spans="1:7" x14ac:dyDescent="0.2">
      <c r="A661" s="494" t="s">
        <v>2005</v>
      </c>
      <c r="B661" s="496" t="s">
        <v>40</v>
      </c>
      <c r="C661" s="496" t="s">
        <v>448</v>
      </c>
      <c r="D661" s="496" t="s">
        <v>1938</v>
      </c>
      <c r="E661" s="496" t="s">
        <v>1609</v>
      </c>
      <c r="F661" s="505">
        <f>'MCS Budget - Detailed'!N816</f>
        <v>676</v>
      </c>
      <c r="G661" s="497" t="s">
        <v>448</v>
      </c>
    </row>
    <row r="662" spans="1:7" x14ac:dyDescent="0.2">
      <c r="A662" s="494" t="s">
        <v>2005</v>
      </c>
      <c r="B662" s="496" t="s">
        <v>40</v>
      </c>
      <c r="C662" s="496" t="s">
        <v>448</v>
      </c>
      <c r="D662" s="496" t="s">
        <v>2159</v>
      </c>
      <c r="E662" s="496" t="s">
        <v>1609</v>
      </c>
      <c r="F662" s="505">
        <f>'MCS Budget - Detailed'!N817</f>
        <v>27</v>
      </c>
      <c r="G662" s="497" t="s">
        <v>448</v>
      </c>
    </row>
    <row r="663" spans="1:7" x14ac:dyDescent="0.2">
      <c r="A663" s="496" t="s">
        <v>2005</v>
      </c>
      <c r="B663" s="496" t="s">
        <v>40</v>
      </c>
      <c r="C663" s="496" t="s">
        <v>448</v>
      </c>
      <c r="D663" s="496" t="s">
        <v>1939</v>
      </c>
      <c r="E663" s="496" t="s">
        <v>1609</v>
      </c>
      <c r="F663" s="505">
        <f>'MCS Budget - Detailed'!N818</f>
        <v>12485</v>
      </c>
      <c r="G663" s="497" t="s">
        <v>448</v>
      </c>
    </row>
    <row r="664" spans="1:7" x14ac:dyDescent="0.2">
      <c r="A664" s="494" t="s">
        <v>2005</v>
      </c>
      <c r="B664" s="496" t="s">
        <v>40</v>
      </c>
      <c r="C664" s="496" t="s">
        <v>448</v>
      </c>
      <c r="D664" s="496" t="s">
        <v>1940</v>
      </c>
      <c r="E664" s="496" t="s">
        <v>1609</v>
      </c>
      <c r="F664" s="505">
        <f>'MCS Budget - Detailed'!N819</f>
        <v>9507</v>
      </c>
      <c r="G664" s="497" t="s">
        <v>448</v>
      </c>
    </row>
    <row r="665" spans="1:7" x14ac:dyDescent="0.2">
      <c r="A665" s="494" t="s">
        <v>2005</v>
      </c>
      <c r="B665" s="496" t="s">
        <v>40</v>
      </c>
      <c r="C665" s="496" t="s">
        <v>448</v>
      </c>
      <c r="D665" s="496" t="s">
        <v>2160</v>
      </c>
      <c r="E665" s="496" t="s">
        <v>1609</v>
      </c>
      <c r="F665" s="505">
        <f>'MCS Budget - Detailed'!N820</f>
        <v>372</v>
      </c>
      <c r="G665" s="497" t="s">
        <v>448</v>
      </c>
    </row>
    <row r="666" spans="1:7" x14ac:dyDescent="0.2">
      <c r="A666" s="496" t="s">
        <v>2005</v>
      </c>
      <c r="B666" s="496" t="s">
        <v>40</v>
      </c>
      <c r="C666" s="496" t="s">
        <v>448</v>
      </c>
      <c r="D666" s="496" t="s">
        <v>1941</v>
      </c>
      <c r="E666" s="496" t="s">
        <v>1609</v>
      </c>
      <c r="F666" s="505">
        <f>'MCS Budget - Detailed'!N821</f>
        <v>15969</v>
      </c>
      <c r="G666" s="497" t="s">
        <v>448</v>
      </c>
    </row>
    <row r="667" spans="1:7" x14ac:dyDescent="0.2">
      <c r="A667" s="496" t="s">
        <v>2005</v>
      </c>
      <c r="B667" s="496" t="s">
        <v>40</v>
      </c>
      <c r="C667" s="496" t="s">
        <v>448</v>
      </c>
      <c r="D667" s="496" t="s">
        <v>2161</v>
      </c>
      <c r="E667" s="496" t="s">
        <v>1609</v>
      </c>
      <c r="F667" s="505">
        <f>'MCS Budget - Detailed'!N822</f>
        <v>6132</v>
      </c>
      <c r="G667" s="497" t="s">
        <v>448</v>
      </c>
    </row>
    <row r="668" spans="1:7" x14ac:dyDescent="0.2">
      <c r="A668" s="496" t="s">
        <v>2005</v>
      </c>
      <c r="B668" s="496" t="s">
        <v>40</v>
      </c>
      <c r="C668" s="496" t="s">
        <v>448</v>
      </c>
      <c r="D668" s="496" t="s">
        <v>2670</v>
      </c>
      <c r="E668" s="496" t="s">
        <v>1609</v>
      </c>
      <c r="F668" s="505">
        <f>'MCS Budget - Detailed'!N823</f>
        <v>1836</v>
      </c>
      <c r="G668" s="497" t="s">
        <v>448</v>
      </c>
    </row>
    <row r="669" spans="1:7" x14ac:dyDescent="0.2">
      <c r="A669" s="496" t="s">
        <v>2005</v>
      </c>
      <c r="B669" s="496" t="s">
        <v>40</v>
      </c>
      <c r="C669" s="496" t="s">
        <v>448</v>
      </c>
      <c r="D669" s="496" t="s">
        <v>2671</v>
      </c>
      <c r="E669" s="496" t="s">
        <v>1609</v>
      </c>
      <c r="F669" s="505">
        <f>'MCS Budget - Detailed'!N824</f>
        <v>1398</v>
      </c>
      <c r="G669" s="497" t="s">
        <v>448</v>
      </c>
    </row>
    <row r="670" spans="1:7" x14ac:dyDescent="0.2">
      <c r="A670" s="496" t="s">
        <v>2005</v>
      </c>
      <c r="B670" s="496" t="s">
        <v>40</v>
      </c>
      <c r="C670" s="496" t="s">
        <v>448</v>
      </c>
      <c r="D670" s="496" t="s">
        <v>1942</v>
      </c>
      <c r="E670" s="496" t="s">
        <v>1609</v>
      </c>
      <c r="F670" s="505">
        <f>'MCS Budget - Detailed'!N825</f>
        <v>5000</v>
      </c>
      <c r="G670" s="497" t="s">
        <v>448</v>
      </c>
    </row>
    <row r="671" spans="1:7" x14ac:dyDescent="0.2">
      <c r="A671" s="494" t="s">
        <v>2005</v>
      </c>
      <c r="B671" s="496" t="s">
        <v>40</v>
      </c>
      <c r="C671" s="496" t="s">
        <v>448</v>
      </c>
      <c r="D671" s="496" t="s">
        <v>1943</v>
      </c>
      <c r="E671" s="496" t="s">
        <v>1609</v>
      </c>
      <c r="F671" s="505">
        <f>'MCS Budget - Detailed'!N826</f>
        <v>9865</v>
      </c>
      <c r="G671" s="497" t="s">
        <v>448</v>
      </c>
    </row>
    <row r="672" spans="1:7" x14ac:dyDescent="0.2">
      <c r="A672" s="494" t="s">
        <v>2005</v>
      </c>
      <c r="B672" s="496" t="s">
        <v>40</v>
      </c>
      <c r="C672" s="496" t="s">
        <v>448</v>
      </c>
      <c r="D672" s="496" t="s">
        <v>2672</v>
      </c>
      <c r="E672" s="496" t="s">
        <v>1609</v>
      </c>
      <c r="F672" s="505">
        <f>'MCS Budget - Detailed'!N827</f>
        <v>6000</v>
      </c>
      <c r="G672" s="497" t="s">
        <v>448</v>
      </c>
    </row>
    <row r="673" spans="1:8" x14ac:dyDescent="0.2">
      <c r="A673" s="496" t="s">
        <v>2005</v>
      </c>
      <c r="B673" s="496" t="s">
        <v>40</v>
      </c>
      <c r="C673" s="496" t="s">
        <v>448</v>
      </c>
      <c r="D673" s="496" t="s">
        <v>1944</v>
      </c>
      <c r="E673" s="496" t="s">
        <v>1609</v>
      </c>
      <c r="F673" s="505">
        <f>'MCS Budget - Detailed'!N828</f>
        <v>1000</v>
      </c>
      <c r="G673" s="497" t="s">
        <v>448</v>
      </c>
    </row>
    <row r="674" spans="1:8" x14ac:dyDescent="0.2">
      <c r="A674" s="494" t="s">
        <v>2005</v>
      </c>
      <c r="B674" s="496" t="s">
        <v>40</v>
      </c>
      <c r="C674" s="496" t="s">
        <v>448</v>
      </c>
      <c r="D674" s="496" t="s">
        <v>1945</v>
      </c>
      <c r="E674" s="496" t="s">
        <v>1609</v>
      </c>
      <c r="F674" s="505">
        <f>'MCS Budget - Detailed'!N829</f>
        <v>7000</v>
      </c>
      <c r="G674" s="497" t="s">
        <v>448</v>
      </c>
    </row>
    <row r="675" spans="1:8" x14ac:dyDescent="0.2">
      <c r="A675" s="496" t="s">
        <v>2005</v>
      </c>
      <c r="B675" s="496" t="s">
        <v>40</v>
      </c>
      <c r="C675" s="496" t="s">
        <v>448</v>
      </c>
      <c r="D675" s="496" t="s">
        <v>1946</v>
      </c>
      <c r="E675" s="496" t="s">
        <v>1609</v>
      </c>
      <c r="F675" s="505">
        <f>'MCS Budget - Detailed'!N830</f>
        <v>17000</v>
      </c>
      <c r="G675" s="497" t="s">
        <v>448</v>
      </c>
    </row>
    <row r="676" spans="1:8" x14ac:dyDescent="0.2">
      <c r="A676" s="494" t="s">
        <v>2005</v>
      </c>
      <c r="B676" s="496" t="s">
        <v>40</v>
      </c>
      <c r="C676" s="496" t="s">
        <v>448</v>
      </c>
      <c r="D676" s="496" t="s">
        <v>1947</v>
      </c>
      <c r="E676" s="496" t="s">
        <v>1609</v>
      </c>
      <c r="F676" s="505">
        <f>'MCS Budget - Detailed'!N831</f>
        <v>3000</v>
      </c>
      <c r="G676" s="497" t="s">
        <v>448</v>
      </c>
    </row>
    <row r="677" spans="1:8" x14ac:dyDescent="0.2">
      <c r="A677" s="496" t="s">
        <v>2005</v>
      </c>
      <c r="B677" s="496" t="s">
        <v>40</v>
      </c>
      <c r="C677" s="496" t="s">
        <v>448</v>
      </c>
      <c r="D677" s="496" t="s">
        <v>1948</v>
      </c>
      <c r="E677" s="496" t="s">
        <v>1609</v>
      </c>
      <c r="F677" s="505">
        <f>'MCS Budget - Detailed'!N834</f>
        <v>7500</v>
      </c>
      <c r="G677" s="497" t="s">
        <v>448</v>
      </c>
    </row>
    <row r="678" spans="1:8" x14ac:dyDescent="0.2">
      <c r="A678" s="494" t="s">
        <v>2005</v>
      </c>
      <c r="B678" s="496" t="s">
        <v>40</v>
      </c>
      <c r="C678" s="496" t="s">
        <v>448</v>
      </c>
      <c r="D678" s="496" t="s">
        <v>1949</v>
      </c>
      <c r="E678" s="496" t="s">
        <v>1609</v>
      </c>
      <c r="F678" s="505">
        <f>'MCS Budget - Detailed'!N835</f>
        <v>23</v>
      </c>
      <c r="G678" s="497" t="s">
        <v>448</v>
      </c>
    </row>
    <row r="679" spans="1:8" x14ac:dyDescent="0.2">
      <c r="A679" s="496" t="s">
        <v>2005</v>
      </c>
      <c r="B679" s="496" t="s">
        <v>40</v>
      </c>
      <c r="C679" s="496" t="s">
        <v>448</v>
      </c>
      <c r="D679" s="496" t="s">
        <v>1950</v>
      </c>
      <c r="E679" s="496" t="s">
        <v>1609</v>
      </c>
      <c r="F679" s="505">
        <f>'MCS Budget - Detailed'!N836</f>
        <v>109</v>
      </c>
      <c r="G679" s="497" t="s">
        <v>448</v>
      </c>
    </row>
    <row r="680" spans="1:8" x14ac:dyDescent="0.2">
      <c r="A680" s="494" t="s">
        <v>2005</v>
      </c>
      <c r="B680" s="496" t="s">
        <v>40</v>
      </c>
      <c r="C680" s="496" t="s">
        <v>448</v>
      </c>
      <c r="D680" s="496" t="s">
        <v>1951</v>
      </c>
      <c r="E680" s="496" t="s">
        <v>1609</v>
      </c>
      <c r="F680" s="505">
        <f>'MCS Budget - Detailed'!N837</f>
        <v>1530</v>
      </c>
      <c r="G680" s="497" t="s">
        <v>448</v>
      </c>
    </row>
    <row r="681" spans="1:8" x14ac:dyDescent="0.2">
      <c r="A681" s="494" t="s">
        <v>2005</v>
      </c>
      <c r="B681" s="496" t="s">
        <v>40</v>
      </c>
      <c r="C681" s="496" t="s">
        <v>448</v>
      </c>
      <c r="D681" s="496" t="s">
        <v>2673</v>
      </c>
      <c r="E681" s="496" t="s">
        <v>1609</v>
      </c>
      <c r="F681" s="505">
        <f>'MCS Budget - Detailed'!N838</f>
        <v>225</v>
      </c>
      <c r="G681" s="497" t="s">
        <v>448</v>
      </c>
    </row>
    <row r="682" spans="1:8" x14ac:dyDescent="0.2">
      <c r="A682" s="494" t="s">
        <v>2005</v>
      </c>
      <c r="B682" s="496" t="s">
        <v>40</v>
      </c>
      <c r="C682" s="496" t="s">
        <v>448</v>
      </c>
      <c r="D682" s="496" t="s">
        <v>2162</v>
      </c>
      <c r="E682" s="496" t="s">
        <v>1609</v>
      </c>
      <c r="F682" s="505">
        <f>'MCS Budget - Detailed'!N839</f>
        <v>150</v>
      </c>
      <c r="G682" s="497" t="s">
        <v>448</v>
      </c>
    </row>
    <row r="683" spans="1:8" x14ac:dyDescent="0.2">
      <c r="A683" s="496" t="s">
        <v>2005</v>
      </c>
      <c r="B683" s="496" t="s">
        <v>40</v>
      </c>
      <c r="C683" s="496" t="s">
        <v>448</v>
      </c>
      <c r="D683" s="496" t="s">
        <v>1952</v>
      </c>
      <c r="E683" s="496" t="s">
        <v>1609</v>
      </c>
      <c r="F683" s="505">
        <f>'MCS Budget - Detailed'!N841</f>
        <v>95939</v>
      </c>
      <c r="G683" s="497" t="s">
        <v>448</v>
      </c>
    </row>
    <row r="684" spans="1:8" x14ac:dyDescent="0.2">
      <c r="A684" s="494" t="s">
        <v>2005</v>
      </c>
      <c r="B684" s="496" t="s">
        <v>40</v>
      </c>
      <c r="C684" s="496" t="s">
        <v>448</v>
      </c>
      <c r="D684" s="496" t="s">
        <v>1953</v>
      </c>
      <c r="E684" s="496" t="s">
        <v>1609</v>
      </c>
      <c r="F684" s="505">
        <f>'MCS Budget - Detailed'!N846</f>
        <v>19000</v>
      </c>
      <c r="G684" s="497" t="s">
        <v>448</v>
      </c>
    </row>
    <row r="685" spans="1:8" x14ac:dyDescent="0.2">
      <c r="A685" s="496" t="s">
        <v>2005</v>
      </c>
      <c r="B685" s="496" t="s">
        <v>40</v>
      </c>
      <c r="C685" s="496" t="s">
        <v>448</v>
      </c>
      <c r="D685" s="496" t="s">
        <v>1954</v>
      </c>
      <c r="E685" s="496" t="s">
        <v>1609</v>
      </c>
      <c r="F685" s="505">
        <f>'MCS Budget - Detailed'!N848</f>
        <v>1600867</v>
      </c>
      <c r="G685" s="497" t="s">
        <v>448</v>
      </c>
    </row>
    <row r="686" spans="1:8" x14ac:dyDescent="0.2">
      <c r="A686" s="494" t="s">
        <v>2005</v>
      </c>
      <c r="B686" s="496" t="s">
        <v>40</v>
      </c>
      <c r="C686" s="496" t="s">
        <v>448</v>
      </c>
      <c r="D686" s="496" t="s">
        <v>1955</v>
      </c>
      <c r="E686" s="496" t="s">
        <v>1609</v>
      </c>
      <c r="F686" s="505">
        <f>'MCS Budget - Detailed'!N850</f>
        <v>85000</v>
      </c>
      <c r="G686" s="497" t="s">
        <v>448</v>
      </c>
      <c r="H686" s="506">
        <f>SUM(F53:F686)</f>
        <v>4700525</v>
      </c>
    </row>
    <row r="687" spans="1:8" x14ac:dyDescent="0.2">
      <c r="A687" s="496" t="s">
        <v>2005</v>
      </c>
      <c r="B687" s="496" t="s">
        <v>404</v>
      </c>
      <c r="C687" s="496" t="s">
        <v>448</v>
      </c>
      <c r="D687" s="496" t="s">
        <v>2209</v>
      </c>
      <c r="E687" s="496" t="s">
        <v>1587</v>
      </c>
      <c r="F687" s="505">
        <f>'MCS Budget - Detailed'!N855</f>
        <v>33587</v>
      </c>
      <c r="G687" s="497" t="s">
        <v>448</v>
      </c>
    </row>
    <row r="688" spans="1:8" x14ac:dyDescent="0.2">
      <c r="A688" s="496" t="s">
        <v>2005</v>
      </c>
      <c r="B688" s="496" t="s">
        <v>404</v>
      </c>
      <c r="C688" s="496" t="s">
        <v>448</v>
      </c>
      <c r="D688" s="496" t="s">
        <v>1956</v>
      </c>
      <c r="E688" s="496" t="s">
        <v>1587</v>
      </c>
      <c r="F688" s="505">
        <f>'MCS Budget - Detailed'!N856</f>
        <v>50</v>
      </c>
      <c r="G688" s="497" t="s">
        <v>448</v>
      </c>
    </row>
    <row r="689" spans="1:8" x14ac:dyDescent="0.2">
      <c r="A689" s="496" t="s">
        <v>2005</v>
      </c>
      <c r="B689" s="496" t="s">
        <v>404</v>
      </c>
      <c r="C689" s="496" t="s">
        <v>448</v>
      </c>
      <c r="D689" s="496" t="s">
        <v>2675</v>
      </c>
      <c r="E689" s="496" t="s">
        <v>1587</v>
      </c>
      <c r="F689" s="505">
        <f>'MCS Budget - Detailed'!N857</f>
        <v>764</v>
      </c>
      <c r="G689" s="497" t="s">
        <v>448</v>
      </c>
    </row>
    <row r="690" spans="1:8" x14ac:dyDescent="0.2">
      <c r="A690" s="494" t="s">
        <v>2005</v>
      </c>
      <c r="B690" s="496" t="s">
        <v>404</v>
      </c>
      <c r="C690" s="496" t="s">
        <v>448</v>
      </c>
      <c r="D690" s="496" t="s">
        <v>1957</v>
      </c>
      <c r="E690" s="496" t="s">
        <v>1587</v>
      </c>
      <c r="F690" s="505">
        <f>'MCS Budget - Detailed'!N859</f>
        <v>166750</v>
      </c>
      <c r="G690" s="497" t="s">
        <v>448</v>
      </c>
      <c r="H690" s="506">
        <f>SUM(F687:F690)</f>
        <v>201151</v>
      </c>
    </row>
    <row r="691" spans="1:8" x14ac:dyDescent="0.2">
      <c r="A691" s="496" t="s">
        <v>2005</v>
      </c>
      <c r="B691" s="496" t="s">
        <v>404</v>
      </c>
      <c r="C691" s="496" t="s">
        <v>448</v>
      </c>
      <c r="D691" s="496" t="s">
        <v>1958</v>
      </c>
      <c r="E691" s="496" t="s">
        <v>1609</v>
      </c>
      <c r="F691" s="505">
        <f>'MCS Budget - Detailed'!N872</f>
        <v>49075</v>
      </c>
      <c r="G691" s="497" t="s">
        <v>448</v>
      </c>
    </row>
    <row r="692" spans="1:8" x14ac:dyDescent="0.2">
      <c r="A692" s="496" t="s">
        <v>2005</v>
      </c>
      <c r="B692" s="496" t="s">
        <v>404</v>
      </c>
      <c r="C692" s="496" t="s">
        <v>448</v>
      </c>
      <c r="D692" s="496" t="s">
        <v>2163</v>
      </c>
      <c r="E692" s="496" t="s">
        <v>1609</v>
      </c>
      <c r="F692" s="505">
        <f>'MCS Budget - Detailed'!N873</f>
        <v>23561</v>
      </c>
      <c r="G692" s="497" t="s">
        <v>448</v>
      </c>
    </row>
    <row r="693" spans="1:8" x14ac:dyDescent="0.2">
      <c r="A693" s="494" t="s">
        <v>2005</v>
      </c>
      <c r="B693" s="496" t="s">
        <v>404</v>
      </c>
      <c r="C693" s="496" t="s">
        <v>448</v>
      </c>
      <c r="D693" s="496" t="s">
        <v>1959</v>
      </c>
      <c r="E693" s="496" t="s">
        <v>1609</v>
      </c>
      <c r="F693" s="505">
        <f>'MCS Budget - Detailed'!N874</f>
        <v>2450</v>
      </c>
      <c r="G693" s="497" t="s">
        <v>448</v>
      </c>
    </row>
    <row r="694" spans="1:8" x14ac:dyDescent="0.2">
      <c r="A694" s="494" t="s">
        <v>2005</v>
      </c>
      <c r="B694" s="496" t="s">
        <v>404</v>
      </c>
      <c r="C694" s="496" t="s">
        <v>448</v>
      </c>
      <c r="D694" s="496" t="s">
        <v>2164</v>
      </c>
      <c r="E694" s="496" t="s">
        <v>1609</v>
      </c>
      <c r="F694" s="505">
        <f>'MCS Budget - Detailed'!N875</f>
        <v>900</v>
      </c>
      <c r="G694" s="497" t="s">
        <v>448</v>
      </c>
    </row>
    <row r="695" spans="1:8" x14ac:dyDescent="0.2">
      <c r="A695" s="494" t="s">
        <v>2005</v>
      </c>
      <c r="B695" s="496" t="s">
        <v>404</v>
      </c>
      <c r="C695" s="496" t="s">
        <v>448</v>
      </c>
      <c r="D695" s="496" t="s">
        <v>2165</v>
      </c>
      <c r="E695" s="496" t="s">
        <v>1609</v>
      </c>
      <c r="F695" s="505">
        <f>'MCS Budget - Detailed'!N876</f>
        <v>2000</v>
      </c>
      <c r="G695" s="497" t="s">
        <v>448</v>
      </c>
    </row>
    <row r="696" spans="1:8" x14ac:dyDescent="0.2">
      <c r="A696" s="496" t="s">
        <v>2005</v>
      </c>
      <c r="B696" s="496" t="s">
        <v>404</v>
      </c>
      <c r="C696" s="496" t="s">
        <v>448</v>
      </c>
      <c r="D696" s="496" t="s">
        <v>2166</v>
      </c>
      <c r="E696" s="496" t="s">
        <v>1609</v>
      </c>
      <c r="F696" s="505">
        <f>'MCS Budget - Detailed'!N877</f>
        <v>77</v>
      </c>
      <c r="G696" s="497" t="s">
        <v>448</v>
      </c>
    </row>
    <row r="697" spans="1:8" x14ac:dyDescent="0.2">
      <c r="A697" s="496" t="s">
        <v>2005</v>
      </c>
      <c r="B697" s="496" t="s">
        <v>404</v>
      </c>
      <c r="C697" s="496" t="s">
        <v>448</v>
      </c>
      <c r="D697" s="496" t="s">
        <v>2167</v>
      </c>
      <c r="E697" s="496" t="s">
        <v>1609</v>
      </c>
      <c r="F697" s="505">
        <f>'MCS Budget - Detailed'!N878</f>
        <v>80</v>
      </c>
      <c r="G697" s="497" t="s">
        <v>448</v>
      </c>
    </row>
    <row r="698" spans="1:8" x14ac:dyDescent="0.2">
      <c r="A698" s="494" t="s">
        <v>2005</v>
      </c>
      <c r="B698" s="496" t="s">
        <v>404</v>
      </c>
      <c r="C698" s="496" t="s">
        <v>448</v>
      </c>
      <c r="D698" s="496" t="s">
        <v>1960</v>
      </c>
      <c r="E698" s="496" t="s">
        <v>1609</v>
      </c>
      <c r="F698" s="505">
        <f>'MCS Budget - Detailed'!N879</f>
        <v>161</v>
      </c>
      <c r="G698" s="497" t="s">
        <v>448</v>
      </c>
    </row>
    <row r="699" spans="1:8" x14ac:dyDescent="0.2">
      <c r="A699" s="494" t="s">
        <v>2005</v>
      </c>
      <c r="B699" s="496" t="s">
        <v>404</v>
      </c>
      <c r="C699" s="496" t="s">
        <v>448</v>
      </c>
      <c r="D699" s="496" t="s">
        <v>2168</v>
      </c>
      <c r="E699" s="496" t="s">
        <v>1609</v>
      </c>
      <c r="F699" s="505">
        <f>'MCS Budget - Detailed'!N880</f>
        <v>74</v>
      </c>
      <c r="G699" s="497" t="s">
        <v>448</v>
      </c>
    </row>
    <row r="700" spans="1:8" x14ac:dyDescent="0.2">
      <c r="A700" s="496" t="s">
        <v>2005</v>
      </c>
      <c r="B700" s="496" t="s">
        <v>404</v>
      </c>
      <c r="C700" s="496" t="s">
        <v>448</v>
      </c>
      <c r="D700" s="496" t="s">
        <v>1961</v>
      </c>
      <c r="E700" s="496" t="s">
        <v>1609</v>
      </c>
      <c r="F700" s="505">
        <f>'MCS Budget - Detailed'!N881</f>
        <v>777</v>
      </c>
      <c r="G700" s="497" t="s">
        <v>448</v>
      </c>
    </row>
    <row r="701" spans="1:8" x14ac:dyDescent="0.2">
      <c r="A701" s="496" t="s">
        <v>2005</v>
      </c>
      <c r="B701" s="496" t="s">
        <v>404</v>
      </c>
      <c r="C701" s="496" t="s">
        <v>448</v>
      </c>
      <c r="D701" s="496" t="s">
        <v>2169</v>
      </c>
      <c r="E701" s="496" t="s">
        <v>1609</v>
      </c>
      <c r="F701" s="505">
        <f>'MCS Budget - Detailed'!N882</f>
        <v>355</v>
      </c>
      <c r="G701" s="497" t="s">
        <v>448</v>
      </c>
    </row>
    <row r="702" spans="1:8" x14ac:dyDescent="0.2">
      <c r="A702" s="494" t="s">
        <v>2005</v>
      </c>
      <c r="B702" s="496" t="s">
        <v>404</v>
      </c>
      <c r="C702" s="496" t="s">
        <v>448</v>
      </c>
      <c r="D702" s="496" t="s">
        <v>1962</v>
      </c>
      <c r="E702" s="496" t="s">
        <v>1609</v>
      </c>
      <c r="F702" s="505">
        <f>'MCS Budget - Detailed'!N883</f>
        <v>10920</v>
      </c>
      <c r="G702" s="497" t="s">
        <v>448</v>
      </c>
    </row>
    <row r="703" spans="1:8" x14ac:dyDescent="0.2">
      <c r="A703" s="494" t="s">
        <v>2005</v>
      </c>
      <c r="B703" s="496" t="s">
        <v>404</v>
      </c>
      <c r="C703" s="496" t="s">
        <v>448</v>
      </c>
      <c r="D703" s="496" t="s">
        <v>2170</v>
      </c>
      <c r="E703" s="496" t="s">
        <v>1609</v>
      </c>
      <c r="F703" s="505">
        <f>'MCS Budget - Detailed'!N884</f>
        <v>4990</v>
      </c>
      <c r="G703" s="497" t="s">
        <v>448</v>
      </c>
    </row>
    <row r="704" spans="1:8" x14ac:dyDescent="0.2">
      <c r="A704" s="496" t="s">
        <v>2005</v>
      </c>
      <c r="B704" s="496" t="s">
        <v>404</v>
      </c>
      <c r="C704" s="496" t="s">
        <v>448</v>
      </c>
      <c r="D704" s="496" t="s">
        <v>1963</v>
      </c>
      <c r="E704" s="496" t="s">
        <v>1609</v>
      </c>
      <c r="F704" s="505">
        <f>'MCS Budget - Detailed'!N885</f>
        <v>7754</v>
      </c>
      <c r="G704" s="497" t="s">
        <v>448</v>
      </c>
    </row>
    <row r="705" spans="1:7" x14ac:dyDescent="0.2">
      <c r="A705" s="496" t="s">
        <v>2005</v>
      </c>
      <c r="B705" s="496" t="s">
        <v>404</v>
      </c>
      <c r="C705" s="496" t="s">
        <v>448</v>
      </c>
      <c r="D705" s="496" t="s">
        <v>2171</v>
      </c>
      <c r="E705" s="496" t="s">
        <v>1609</v>
      </c>
      <c r="F705" s="505">
        <f>'MCS Budget - Detailed'!N886</f>
        <v>7359</v>
      </c>
      <c r="G705" s="497" t="s">
        <v>448</v>
      </c>
    </row>
    <row r="706" spans="1:7" x14ac:dyDescent="0.2">
      <c r="A706" s="494" t="s">
        <v>2005</v>
      </c>
      <c r="B706" s="496" t="s">
        <v>404</v>
      </c>
      <c r="C706" s="496" t="s">
        <v>448</v>
      </c>
      <c r="D706" s="496" t="s">
        <v>2455</v>
      </c>
      <c r="E706" s="496" t="s">
        <v>1609</v>
      </c>
      <c r="F706" s="505">
        <f>'MCS Budget - Detailed'!N887</f>
        <v>2500</v>
      </c>
      <c r="G706" s="497" t="s">
        <v>448</v>
      </c>
    </row>
    <row r="707" spans="1:7" x14ac:dyDescent="0.2">
      <c r="A707" s="494" t="s">
        <v>2005</v>
      </c>
      <c r="B707" s="496" t="s">
        <v>404</v>
      </c>
      <c r="C707" s="496" t="s">
        <v>448</v>
      </c>
      <c r="D707" s="496" t="s">
        <v>2456</v>
      </c>
      <c r="E707" s="496" t="s">
        <v>1609</v>
      </c>
      <c r="F707" s="505">
        <f>'MCS Budget - Detailed'!N888</f>
        <v>2500</v>
      </c>
      <c r="G707" s="497" t="s">
        <v>448</v>
      </c>
    </row>
    <row r="708" spans="1:7" x14ac:dyDescent="0.2">
      <c r="A708" s="496" t="s">
        <v>2005</v>
      </c>
      <c r="B708" s="496" t="s">
        <v>404</v>
      </c>
      <c r="C708" s="496" t="s">
        <v>448</v>
      </c>
      <c r="D708" s="496" t="s">
        <v>1964</v>
      </c>
      <c r="E708" s="496" t="s">
        <v>1609</v>
      </c>
      <c r="F708" s="505">
        <f>'MCS Budget - Detailed'!N889</f>
        <v>20245</v>
      </c>
      <c r="G708" s="497" t="s">
        <v>448</v>
      </c>
    </row>
    <row r="709" spans="1:7" x14ac:dyDescent="0.2">
      <c r="A709" s="494" t="s">
        <v>2005</v>
      </c>
      <c r="B709" s="496" t="s">
        <v>404</v>
      </c>
      <c r="C709" s="496" t="s">
        <v>448</v>
      </c>
      <c r="D709" s="496" t="s">
        <v>1965</v>
      </c>
      <c r="E709" s="496" t="s">
        <v>1609</v>
      </c>
      <c r="F709" s="505">
        <f>'MCS Budget - Detailed'!N890</f>
        <v>5000</v>
      </c>
      <c r="G709" s="497" t="s">
        <v>448</v>
      </c>
    </row>
    <row r="710" spans="1:7" x14ac:dyDescent="0.2">
      <c r="A710" s="496" t="s">
        <v>2005</v>
      </c>
      <c r="B710" s="496" t="s">
        <v>404</v>
      </c>
      <c r="C710" s="496" t="s">
        <v>448</v>
      </c>
      <c r="D710" s="496" t="s">
        <v>2173</v>
      </c>
      <c r="E710" s="496" t="s">
        <v>1609</v>
      </c>
      <c r="F710" s="505">
        <f>'MCS Budget - Detailed'!N892</f>
        <v>8500</v>
      </c>
      <c r="G710" s="497" t="s">
        <v>448</v>
      </c>
    </row>
    <row r="711" spans="1:7" x14ac:dyDescent="0.2">
      <c r="A711" s="496" t="s">
        <v>2005</v>
      </c>
      <c r="B711" s="496" t="s">
        <v>404</v>
      </c>
      <c r="C711" s="496" t="s">
        <v>448</v>
      </c>
      <c r="D711" s="496" t="s">
        <v>2174</v>
      </c>
      <c r="E711" s="496" t="s">
        <v>1609</v>
      </c>
      <c r="F711" s="505">
        <f>'MCS Budget - Detailed'!N893</f>
        <v>26</v>
      </c>
      <c r="G711" s="497" t="s">
        <v>448</v>
      </c>
    </row>
    <row r="712" spans="1:7" x14ac:dyDescent="0.2">
      <c r="A712" s="496" t="s">
        <v>2005</v>
      </c>
      <c r="B712" s="496" t="s">
        <v>404</v>
      </c>
      <c r="C712" s="496" t="s">
        <v>448</v>
      </c>
      <c r="D712" s="496" t="s">
        <v>2175</v>
      </c>
      <c r="E712" s="496" t="s">
        <v>1609</v>
      </c>
      <c r="F712" s="505">
        <f>'MCS Budget - Detailed'!N894</f>
        <v>124</v>
      </c>
      <c r="G712" s="497" t="s">
        <v>448</v>
      </c>
    </row>
    <row r="713" spans="1:7" x14ac:dyDescent="0.2">
      <c r="A713" s="496" t="s">
        <v>2005</v>
      </c>
      <c r="B713" s="496" t="s">
        <v>404</v>
      </c>
      <c r="C713" s="496" t="s">
        <v>448</v>
      </c>
      <c r="D713" s="496" t="s">
        <v>2176</v>
      </c>
      <c r="E713" s="496" t="s">
        <v>1609</v>
      </c>
      <c r="F713" s="505">
        <f>'MCS Budget - Detailed'!N895</f>
        <v>1734</v>
      </c>
      <c r="G713" s="497" t="s">
        <v>448</v>
      </c>
    </row>
    <row r="714" spans="1:7" x14ac:dyDescent="0.2">
      <c r="A714" s="496" t="s">
        <v>2005</v>
      </c>
      <c r="B714" s="496" t="s">
        <v>404</v>
      </c>
      <c r="C714" s="496" t="s">
        <v>448</v>
      </c>
      <c r="D714" s="496" t="s">
        <v>2177</v>
      </c>
      <c r="E714" s="496" t="s">
        <v>1609</v>
      </c>
      <c r="F714" s="505">
        <f>'MCS Budget - Detailed'!N896</f>
        <v>0</v>
      </c>
      <c r="G714" s="497" t="s">
        <v>448</v>
      </c>
    </row>
    <row r="715" spans="1:7" x14ac:dyDescent="0.2">
      <c r="A715" s="496" t="s">
        <v>2005</v>
      </c>
      <c r="B715" s="496" t="s">
        <v>404</v>
      </c>
      <c r="C715" s="496" t="s">
        <v>448</v>
      </c>
      <c r="D715" s="496" t="s">
        <v>2178</v>
      </c>
      <c r="E715" s="496" t="s">
        <v>1609</v>
      </c>
      <c r="F715" s="505">
        <f>'MCS Budget - Detailed'!N898</f>
        <v>3000</v>
      </c>
      <c r="G715" s="497" t="s">
        <v>448</v>
      </c>
    </row>
    <row r="716" spans="1:7" x14ac:dyDescent="0.2">
      <c r="A716" s="494" t="s">
        <v>2005</v>
      </c>
      <c r="B716" s="496" t="s">
        <v>404</v>
      </c>
      <c r="C716" s="496" t="s">
        <v>448</v>
      </c>
      <c r="D716" s="496" t="s">
        <v>2179</v>
      </c>
      <c r="E716" s="496" t="s">
        <v>1609</v>
      </c>
      <c r="F716" s="505">
        <f>'MCS Budget - Detailed'!N900</f>
        <v>8138</v>
      </c>
      <c r="G716" s="497" t="s">
        <v>448</v>
      </c>
    </row>
    <row r="717" spans="1:7" x14ac:dyDescent="0.2">
      <c r="A717" s="494" t="s">
        <v>2005</v>
      </c>
      <c r="B717" s="496" t="s">
        <v>404</v>
      </c>
      <c r="C717" s="496" t="s">
        <v>448</v>
      </c>
      <c r="D717" s="496" t="s">
        <v>2180</v>
      </c>
      <c r="E717" s="496" t="s">
        <v>1609</v>
      </c>
      <c r="F717" s="505">
        <f>'MCS Budget - Detailed'!N901</f>
        <v>12</v>
      </c>
      <c r="G717" s="497" t="s">
        <v>448</v>
      </c>
    </row>
    <row r="718" spans="1:7" x14ac:dyDescent="0.2">
      <c r="A718" s="494" t="s">
        <v>2005</v>
      </c>
      <c r="B718" s="496" t="s">
        <v>404</v>
      </c>
      <c r="C718" s="496" t="s">
        <v>448</v>
      </c>
      <c r="D718" s="496" t="s">
        <v>2181</v>
      </c>
      <c r="E718" s="496" t="s">
        <v>1609</v>
      </c>
      <c r="F718" s="505">
        <f>'MCS Budget - Detailed'!N902</f>
        <v>25</v>
      </c>
      <c r="G718" s="497" t="s">
        <v>448</v>
      </c>
    </row>
    <row r="719" spans="1:7" x14ac:dyDescent="0.2">
      <c r="A719" s="494" t="s">
        <v>2005</v>
      </c>
      <c r="B719" s="496" t="s">
        <v>404</v>
      </c>
      <c r="C719" s="496" t="s">
        <v>448</v>
      </c>
      <c r="D719" s="496" t="s">
        <v>2182</v>
      </c>
      <c r="E719" s="496" t="s">
        <v>1609</v>
      </c>
      <c r="F719" s="505">
        <f>'MCS Budget - Detailed'!N903</f>
        <v>118</v>
      </c>
      <c r="G719" s="497" t="s">
        <v>448</v>
      </c>
    </row>
    <row r="720" spans="1:7" x14ac:dyDescent="0.2">
      <c r="A720" s="494" t="s">
        <v>2005</v>
      </c>
      <c r="B720" s="496" t="s">
        <v>404</v>
      </c>
      <c r="C720" s="496" t="s">
        <v>448</v>
      </c>
      <c r="D720" s="496" t="s">
        <v>2183</v>
      </c>
      <c r="E720" s="496" t="s">
        <v>1609</v>
      </c>
      <c r="F720" s="505">
        <f>'MCS Budget - Detailed'!N904</f>
        <v>1661</v>
      </c>
      <c r="G720" s="497" t="s">
        <v>448</v>
      </c>
    </row>
    <row r="721" spans="1:8" x14ac:dyDescent="0.2">
      <c r="A721" s="494" t="s">
        <v>2005</v>
      </c>
      <c r="B721" s="496" t="s">
        <v>404</v>
      </c>
      <c r="C721" s="496" t="s">
        <v>448</v>
      </c>
      <c r="D721" s="496" t="s">
        <v>2184</v>
      </c>
      <c r="E721" s="496" t="s">
        <v>1609</v>
      </c>
      <c r="F721" s="505">
        <f>'MCS Budget - Detailed'!N905</f>
        <v>1150</v>
      </c>
      <c r="G721" s="497" t="s">
        <v>1756</v>
      </c>
    </row>
    <row r="722" spans="1:8" x14ac:dyDescent="0.2">
      <c r="A722" s="496" t="s">
        <v>2005</v>
      </c>
      <c r="B722" s="496" t="s">
        <v>404</v>
      </c>
      <c r="C722" s="496" t="s">
        <v>448</v>
      </c>
      <c r="D722" s="496" t="s">
        <v>2172</v>
      </c>
      <c r="E722" s="496" t="s">
        <v>1609</v>
      </c>
      <c r="F722" s="505">
        <f>'MCS Budget - Detailed'!N907</f>
        <v>8338</v>
      </c>
      <c r="G722" s="497" t="s">
        <v>448</v>
      </c>
    </row>
    <row r="723" spans="1:8" x14ac:dyDescent="0.2">
      <c r="A723" s="494" t="s">
        <v>2005</v>
      </c>
      <c r="B723" s="496" t="s">
        <v>404</v>
      </c>
      <c r="C723" s="496" t="s">
        <v>448</v>
      </c>
      <c r="D723" s="496" t="s">
        <v>2185</v>
      </c>
      <c r="E723" s="496" t="s">
        <v>1609</v>
      </c>
      <c r="F723" s="505">
        <f>'MCS Budget - Detailed'!N915</f>
        <v>2534</v>
      </c>
      <c r="G723" s="497" t="s">
        <v>448</v>
      </c>
    </row>
    <row r="724" spans="1:8" x14ac:dyDescent="0.2">
      <c r="A724" s="496" t="s">
        <v>2005</v>
      </c>
      <c r="B724" s="496" t="s">
        <v>404</v>
      </c>
      <c r="C724" s="496" t="s">
        <v>448</v>
      </c>
      <c r="D724" s="496" t="s">
        <v>1966</v>
      </c>
      <c r="E724" s="496" t="s">
        <v>1609</v>
      </c>
      <c r="F724" s="505">
        <f>'MCS Budget - Detailed'!N917</f>
        <v>25013</v>
      </c>
      <c r="G724" s="497" t="s">
        <v>448</v>
      </c>
      <c r="H724" s="506">
        <f>SUM(F691:F724)</f>
        <v>201151</v>
      </c>
    </row>
    <row r="725" spans="1:8" x14ac:dyDescent="0.2">
      <c r="A725" s="494" t="s">
        <v>2005</v>
      </c>
      <c r="B725" s="496" t="s">
        <v>416</v>
      </c>
      <c r="C725" s="496" t="s">
        <v>448</v>
      </c>
      <c r="D725" s="496" t="s">
        <v>2210</v>
      </c>
      <c r="E725" s="496" t="s">
        <v>1587</v>
      </c>
      <c r="F725" s="505">
        <f>'MCS Budget - Detailed'!N922</f>
        <v>21798</v>
      </c>
      <c r="G725" s="497" t="s">
        <v>448</v>
      </c>
    </row>
    <row r="726" spans="1:8" x14ac:dyDescent="0.2">
      <c r="A726" s="494" t="s">
        <v>2005</v>
      </c>
      <c r="B726" s="496" t="s">
        <v>416</v>
      </c>
      <c r="C726" s="496" t="s">
        <v>448</v>
      </c>
      <c r="D726" s="496" t="s">
        <v>1967</v>
      </c>
      <c r="E726" s="496" t="s">
        <v>1587</v>
      </c>
      <c r="F726" s="505">
        <f>'MCS Budget - Detailed'!N923</f>
        <v>40</v>
      </c>
      <c r="G726" s="497" t="s">
        <v>448</v>
      </c>
    </row>
    <row r="727" spans="1:8" x14ac:dyDescent="0.2">
      <c r="A727" s="496" t="s">
        <v>2005</v>
      </c>
      <c r="B727" s="496" t="s">
        <v>416</v>
      </c>
      <c r="C727" s="496" t="s">
        <v>448</v>
      </c>
      <c r="D727" s="496" t="s">
        <v>1968</v>
      </c>
      <c r="E727" s="496" t="s">
        <v>1587</v>
      </c>
      <c r="F727" s="505">
        <f>'MCS Budget - Detailed'!N924</f>
        <v>9000</v>
      </c>
      <c r="G727" s="497" t="s">
        <v>448</v>
      </c>
    </row>
    <row r="728" spans="1:8" x14ac:dyDescent="0.2">
      <c r="A728" s="496" t="s">
        <v>2005</v>
      </c>
      <c r="B728" s="496" t="s">
        <v>416</v>
      </c>
      <c r="C728" s="496" t="s">
        <v>448</v>
      </c>
      <c r="D728" s="496" t="s">
        <v>2676</v>
      </c>
      <c r="E728" s="496" t="s">
        <v>1587</v>
      </c>
      <c r="F728" s="505">
        <f>'MCS Budget - Detailed'!N925</f>
        <v>35</v>
      </c>
      <c r="G728" s="497" t="s">
        <v>448</v>
      </c>
    </row>
    <row r="729" spans="1:8" x14ac:dyDescent="0.2">
      <c r="A729" s="494" t="s">
        <v>2005</v>
      </c>
      <c r="B729" s="496" t="s">
        <v>416</v>
      </c>
      <c r="C729" s="496" t="s">
        <v>448</v>
      </c>
      <c r="D729" s="496" t="s">
        <v>1969</v>
      </c>
      <c r="E729" s="496" t="s">
        <v>1587</v>
      </c>
      <c r="F729" s="505">
        <f>'MCS Budget - Detailed'!N928</f>
        <v>600</v>
      </c>
      <c r="G729" s="497" t="s">
        <v>448</v>
      </c>
    </row>
    <row r="730" spans="1:8" x14ac:dyDescent="0.2">
      <c r="A730" s="496" t="s">
        <v>2005</v>
      </c>
      <c r="B730" s="496" t="s">
        <v>416</v>
      </c>
      <c r="C730" s="496" t="s">
        <v>448</v>
      </c>
      <c r="D730" s="496" t="s">
        <v>1970</v>
      </c>
      <c r="E730" s="496" t="s">
        <v>1587</v>
      </c>
      <c r="F730" s="505">
        <f>'MCS Budget - Detailed'!N929</f>
        <v>22000</v>
      </c>
      <c r="G730" s="497" t="s">
        <v>448</v>
      </c>
    </row>
    <row r="731" spans="1:8" x14ac:dyDescent="0.2">
      <c r="A731" s="494" t="s">
        <v>2005</v>
      </c>
      <c r="B731" s="496" t="s">
        <v>416</v>
      </c>
      <c r="C731" s="496" t="s">
        <v>448</v>
      </c>
      <c r="D731" s="496" t="s">
        <v>1971</v>
      </c>
      <c r="E731" s="496" t="s">
        <v>1587</v>
      </c>
      <c r="F731" s="505">
        <f>'MCS Budget - Detailed'!N930</f>
        <v>48000</v>
      </c>
      <c r="G731" s="497" t="s">
        <v>448</v>
      </c>
    </row>
    <row r="732" spans="1:8" x14ac:dyDescent="0.2">
      <c r="A732" s="496" t="s">
        <v>2005</v>
      </c>
      <c r="B732" s="496" t="s">
        <v>416</v>
      </c>
      <c r="C732" s="496" t="s">
        <v>448</v>
      </c>
      <c r="D732" s="496" t="s">
        <v>1972</v>
      </c>
      <c r="E732" s="496" t="s">
        <v>1587</v>
      </c>
      <c r="F732" s="505">
        <f>'MCS Budget - Detailed'!N931</f>
        <v>4524</v>
      </c>
      <c r="G732" s="497" t="s">
        <v>448</v>
      </c>
    </row>
    <row r="733" spans="1:8" x14ac:dyDescent="0.2">
      <c r="A733" s="496" t="s">
        <v>2005</v>
      </c>
      <c r="B733" s="496" t="s">
        <v>416</v>
      </c>
      <c r="C733" s="496" t="s">
        <v>448</v>
      </c>
      <c r="D733" s="496" t="s">
        <v>2186</v>
      </c>
      <c r="E733" s="496" t="s">
        <v>1587</v>
      </c>
      <c r="F733" s="505">
        <f>'MCS Budget - Detailed'!N932</f>
        <v>5300</v>
      </c>
      <c r="G733" s="497" t="s">
        <v>448</v>
      </c>
    </row>
    <row r="734" spans="1:8" x14ac:dyDescent="0.2">
      <c r="A734" s="494" t="s">
        <v>2005</v>
      </c>
      <c r="B734" s="496" t="s">
        <v>416</v>
      </c>
      <c r="C734" s="496" t="s">
        <v>448</v>
      </c>
      <c r="D734" s="496" t="s">
        <v>2268</v>
      </c>
      <c r="E734" s="496" t="s">
        <v>1587</v>
      </c>
      <c r="F734" s="505">
        <f>'MCS Budget - Detailed'!N933</f>
        <v>62000</v>
      </c>
      <c r="G734" s="497" t="s">
        <v>448</v>
      </c>
      <c r="H734" s="506">
        <f>SUM(F725:F734)</f>
        <v>173297</v>
      </c>
    </row>
    <row r="735" spans="1:8" x14ac:dyDescent="0.2">
      <c r="A735" s="496" t="s">
        <v>2005</v>
      </c>
      <c r="B735" s="496" t="s">
        <v>416</v>
      </c>
      <c r="C735" s="496" t="s">
        <v>448</v>
      </c>
      <c r="D735" s="496" t="s">
        <v>2187</v>
      </c>
      <c r="E735" s="496" t="s">
        <v>1609</v>
      </c>
      <c r="F735" s="505">
        <f>'MCS Budget - Detailed'!N937</f>
        <v>26500</v>
      </c>
      <c r="G735" s="497" t="s">
        <v>448</v>
      </c>
    </row>
    <row r="736" spans="1:8" x14ac:dyDescent="0.2">
      <c r="A736" s="496" t="s">
        <v>2005</v>
      </c>
      <c r="B736" s="496" t="s">
        <v>416</v>
      </c>
      <c r="C736" s="496" t="s">
        <v>448</v>
      </c>
      <c r="D736" s="496" t="s">
        <v>2188</v>
      </c>
      <c r="E736" s="496" t="s">
        <v>1609</v>
      </c>
      <c r="F736" s="505">
        <f>'MCS Budget - Detailed'!N938</f>
        <v>1400</v>
      </c>
      <c r="G736" s="497" t="s">
        <v>448</v>
      </c>
    </row>
    <row r="737" spans="1:7" x14ac:dyDescent="0.2">
      <c r="A737" s="496" t="s">
        <v>2005</v>
      </c>
      <c r="B737" s="496" t="s">
        <v>416</v>
      </c>
      <c r="C737" s="496" t="s">
        <v>448</v>
      </c>
      <c r="D737" s="496" t="s">
        <v>2189</v>
      </c>
      <c r="E737" s="496" t="s">
        <v>1609</v>
      </c>
      <c r="F737" s="505">
        <f>'MCS Budget - Detailed'!N939</f>
        <v>27880</v>
      </c>
      <c r="G737" s="497" t="s">
        <v>448</v>
      </c>
    </row>
    <row r="738" spans="1:7" x14ac:dyDescent="0.2">
      <c r="A738" s="494" t="s">
        <v>2005</v>
      </c>
      <c r="B738" s="496" t="s">
        <v>416</v>
      </c>
      <c r="C738" s="496" t="s">
        <v>448</v>
      </c>
      <c r="D738" s="496" t="s">
        <v>2190</v>
      </c>
      <c r="E738" s="496" t="s">
        <v>1609</v>
      </c>
      <c r="F738" s="505">
        <f>'MCS Budget - Detailed'!N940</f>
        <v>66</v>
      </c>
      <c r="G738" s="497" t="s">
        <v>448</v>
      </c>
    </row>
    <row r="739" spans="1:7" x14ac:dyDescent="0.2">
      <c r="A739" s="494" t="s">
        <v>2005</v>
      </c>
      <c r="B739" s="496" t="s">
        <v>416</v>
      </c>
      <c r="C739" s="496" t="s">
        <v>448</v>
      </c>
      <c r="D739" s="496" t="s">
        <v>2191</v>
      </c>
      <c r="E739" s="496" t="s">
        <v>1609</v>
      </c>
      <c r="F739" s="505">
        <f>'MCS Budget - Detailed'!N941</f>
        <v>66</v>
      </c>
      <c r="G739" s="497" t="s">
        <v>448</v>
      </c>
    </row>
    <row r="740" spans="1:7" x14ac:dyDescent="0.2">
      <c r="A740" s="494" t="s">
        <v>2005</v>
      </c>
      <c r="B740" s="496" t="s">
        <v>416</v>
      </c>
      <c r="C740" s="496" t="s">
        <v>448</v>
      </c>
      <c r="D740" s="496" t="s">
        <v>2192</v>
      </c>
      <c r="E740" s="496" t="s">
        <v>1609</v>
      </c>
      <c r="F740" s="505">
        <f>'MCS Budget - Detailed'!N942</f>
        <v>80</v>
      </c>
      <c r="G740" s="497" t="s">
        <v>448</v>
      </c>
    </row>
    <row r="741" spans="1:7" x14ac:dyDescent="0.2">
      <c r="A741" s="494" t="s">
        <v>2005</v>
      </c>
      <c r="B741" s="496" t="s">
        <v>416</v>
      </c>
      <c r="C741" s="496" t="s">
        <v>448</v>
      </c>
      <c r="D741" s="496" t="s">
        <v>2193</v>
      </c>
      <c r="E741" s="496" t="s">
        <v>1609</v>
      </c>
      <c r="F741" s="505">
        <f>'MCS Budget - Detailed'!N943</f>
        <v>5</v>
      </c>
      <c r="G741" s="497" t="s">
        <v>448</v>
      </c>
    </row>
    <row r="742" spans="1:7" x14ac:dyDescent="0.2">
      <c r="A742" s="494" t="s">
        <v>2005</v>
      </c>
      <c r="B742" s="496" t="s">
        <v>416</v>
      </c>
      <c r="C742" s="496" t="s">
        <v>448</v>
      </c>
      <c r="D742" s="496" t="s">
        <v>2194</v>
      </c>
      <c r="E742" s="496" t="s">
        <v>1609</v>
      </c>
      <c r="F742" s="505">
        <f>'MCS Budget - Detailed'!N944</f>
        <v>84</v>
      </c>
      <c r="G742" s="497" t="s">
        <v>448</v>
      </c>
    </row>
    <row r="743" spans="1:7" x14ac:dyDescent="0.2">
      <c r="A743" s="494" t="s">
        <v>2005</v>
      </c>
      <c r="B743" s="496" t="s">
        <v>416</v>
      </c>
      <c r="C743" s="496" t="s">
        <v>448</v>
      </c>
      <c r="D743" s="496" t="s">
        <v>2195</v>
      </c>
      <c r="E743" s="496" t="s">
        <v>1609</v>
      </c>
      <c r="F743" s="505">
        <f>'MCS Budget - Detailed'!N945</f>
        <v>385</v>
      </c>
      <c r="G743" s="497" t="s">
        <v>448</v>
      </c>
    </row>
    <row r="744" spans="1:7" x14ac:dyDescent="0.2">
      <c r="A744" s="494" t="s">
        <v>2005</v>
      </c>
      <c r="B744" s="496" t="s">
        <v>416</v>
      </c>
      <c r="C744" s="496" t="s">
        <v>448</v>
      </c>
      <c r="D744" s="496" t="s">
        <v>2196</v>
      </c>
      <c r="E744" s="496" t="s">
        <v>1609</v>
      </c>
      <c r="F744" s="505">
        <f>'MCS Budget - Detailed'!N946</f>
        <v>20</v>
      </c>
      <c r="G744" s="497" t="s">
        <v>448</v>
      </c>
    </row>
    <row r="745" spans="1:7" x14ac:dyDescent="0.2">
      <c r="A745" s="494" t="s">
        <v>2005</v>
      </c>
      <c r="B745" s="496" t="s">
        <v>416</v>
      </c>
      <c r="C745" s="496" t="s">
        <v>448</v>
      </c>
      <c r="D745" s="496" t="s">
        <v>2197</v>
      </c>
      <c r="E745" s="496" t="s">
        <v>1609</v>
      </c>
      <c r="F745" s="505">
        <f>'MCS Budget - Detailed'!N947</f>
        <v>405</v>
      </c>
      <c r="G745" s="497" t="s">
        <v>448</v>
      </c>
    </row>
    <row r="746" spans="1:7" x14ac:dyDescent="0.2">
      <c r="A746" s="494" t="s">
        <v>2005</v>
      </c>
      <c r="B746" s="496" t="s">
        <v>416</v>
      </c>
      <c r="C746" s="496" t="s">
        <v>448</v>
      </c>
      <c r="D746" s="496" t="s">
        <v>2198</v>
      </c>
      <c r="E746" s="496" t="s">
        <v>1609</v>
      </c>
      <c r="F746" s="505">
        <f>'MCS Budget - Detailed'!N948</f>
        <v>5406</v>
      </c>
      <c r="G746" s="497" t="s">
        <v>448</v>
      </c>
    </row>
    <row r="747" spans="1:7" x14ac:dyDescent="0.2">
      <c r="A747" s="494" t="s">
        <v>2005</v>
      </c>
      <c r="B747" s="496" t="s">
        <v>416</v>
      </c>
      <c r="C747" s="496" t="s">
        <v>448</v>
      </c>
      <c r="D747" s="496" t="s">
        <v>2199</v>
      </c>
      <c r="E747" s="496" t="s">
        <v>1609</v>
      </c>
      <c r="F747" s="505">
        <f>'MCS Budget - Detailed'!N949</f>
        <v>5688</v>
      </c>
      <c r="G747" s="497" t="s">
        <v>448</v>
      </c>
    </row>
    <row r="748" spans="1:7" x14ac:dyDescent="0.2">
      <c r="A748" s="494" t="s">
        <v>2005</v>
      </c>
      <c r="B748" s="496" t="s">
        <v>416</v>
      </c>
      <c r="C748" s="496" t="s">
        <v>448</v>
      </c>
      <c r="D748" s="496" t="s">
        <v>2200</v>
      </c>
      <c r="E748" s="496" t="s">
        <v>1609</v>
      </c>
      <c r="F748" s="505">
        <f>'MCS Budget - Detailed'!N950</f>
        <v>6132</v>
      </c>
      <c r="G748" s="497" t="s">
        <v>448</v>
      </c>
    </row>
    <row r="749" spans="1:7" x14ac:dyDescent="0.2">
      <c r="A749" s="494" t="s">
        <v>2005</v>
      </c>
      <c r="B749" s="496" t="s">
        <v>416</v>
      </c>
      <c r="C749" s="496" t="s">
        <v>448</v>
      </c>
      <c r="D749" s="496" t="s">
        <v>2201</v>
      </c>
      <c r="E749" s="496" t="s">
        <v>1609</v>
      </c>
      <c r="F749" s="505">
        <f>'MCS Budget - Detailed'!N951</f>
        <v>6132</v>
      </c>
      <c r="G749" s="497" t="s">
        <v>448</v>
      </c>
    </row>
    <row r="750" spans="1:7" x14ac:dyDescent="0.2">
      <c r="A750" s="496" t="s">
        <v>2005</v>
      </c>
      <c r="B750" s="496" t="s">
        <v>416</v>
      </c>
      <c r="C750" s="496" t="s">
        <v>448</v>
      </c>
      <c r="D750" s="496" t="s">
        <v>1973</v>
      </c>
      <c r="E750" s="496" t="s">
        <v>1609</v>
      </c>
      <c r="F750" s="505">
        <f>'MCS Budget - Detailed'!N952</f>
        <v>4000</v>
      </c>
      <c r="G750" s="497" t="s">
        <v>448</v>
      </c>
    </row>
    <row r="751" spans="1:7" x14ac:dyDescent="0.2">
      <c r="A751" s="494" t="s">
        <v>2005</v>
      </c>
      <c r="B751" s="496" t="s">
        <v>416</v>
      </c>
      <c r="C751" s="496" t="s">
        <v>448</v>
      </c>
      <c r="D751" s="496" t="s">
        <v>2202</v>
      </c>
      <c r="E751" s="496" t="s">
        <v>1609</v>
      </c>
      <c r="F751" s="505">
        <f>'MCS Budget - Detailed'!N953</f>
        <v>600</v>
      </c>
      <c r="G751" s="497" t="s">
        <v>448</v>
      </c>
    </row>
    <row r="752" spans="1:7" x14ac:dyDescent="0.2">
      <c r="A752" s="494" t="s">
        <v>2005</v>
      </c>
      <c r="B752" s="496" t="s">
        <v>416</v>
      </c>
      <c r="C752" s="496" t="s">
        <v>448</v>
      </c>
      <c r="D752" s="496" t="s">
        <v>1974</v>
      </c>
      <c r="E752" s="496" t="s">
        <v>1609</v>
      </c>
      <c r="F752" s="505">
        <f>'MCS Budget - Detailed'!N954</f>
        <v>1000</v>
      </c>
      <c r="G752" s="497" t="s">
        <v>448</v>
      </c>
    </row>
    <row r="753" spans="1:8" x14ac:dyDescent="0.2">
      <c r="A753" s="496" t="s">
        <v>2005</v>
      </c>
      <c r="B753" s="496" t="s">
        <v>416</v>
      </c>
      <c r="C753" s="496" t="s">
        <v>448</v>
      </c>
      <c r="D753" s="496" t="s">
        <v>1975</v>
      </c>
      <c r="E753" s="496" t="s">
        <v>1609</v>
      </c>
      <c r="F753" s="505">
        <f>'MCS Budget - Detailed'!N955</f>
        <v>3000</v>
      </c>
      <c r="G753" s="497" t="s">
        <v>448</v>
      </c>
    </row>
    <row r="754" spans="1:8" x14ac:dyDescent="0.2">
      <c r="A754" s="496" t="s">
        <v>2005</v>
      </c>
      <c r="B754" s="496" t="s">
        <v>416</v>
      </c>
      <c r="C754" s="496" t="s">
        <v>448</v>
      </c>
      <c r="D754" s="496" t="s">
        <v>2203</v>
      </c>
      <c r="E754" s="496" t="s">
        <v>1609</v>
      </c>
      <c r="F754" s="505">
        <f>'MCS Budget - Detailed'!N956</f>
        <v>75</v>
      </c>
      <c r="G754" s="497" t="s">
        <v>448</v>
      </c>
    </row>
    <row r="755" spans="1:8" x14ac:dyDescent="0.2">
      <c r="A755" s="494" t="s">
        <v>2005</v>
      </c>
      <c r="B755" s="496" t="s">
        <v>416</v>
      </c>
      <c r="C755" s="496" t="s">
        <v>448</v>
      </c>
      <c r="D755" s="496" t="s">
        <v>1976</v>
      </c>
      <c r="E755" s="496" t="s">
        <v>1609</v>
      </c>
      <c r="F755" s="505">
        <f>'MCS Budget - Detailed'!N957</f>
        <v>1000</v>
      </c>
      <c r="G755" s="497" t="s">
        <v>448</v>
      </c>
    </row>
    <row r="756" spans="1:8" x14ac:dyDescent="0.2">
      <c r="A756" s="496" t="s">
        <v>2005</v>
      </c>
      <c r="B756" s="496" t="s">
        <v>416</v>
      </c>
      <c r="C756" s="496" t="s">
        <v>448</v>
      </c>
      <c r="D756" s="496" t="s">
        <v>1977</v>
      </c>
      <c r="E756" s="496" t="s">
        <v>1609</v>
      </c>
      <c r="F756" s="505">
        <f>'MCS Budget - Detailed'!N958</f>
        <v>50000</v>
      </c>
      <c r="G756" s="497" t="s">
        <v>448</v>
      </c>
    </row>
    <row r="757" spans="1:8" x14ac:dyDescent="0.2">
      <c r="A757" s="494" t="s">
        <v>2005</v>
      </c>
      <c r="B757" s="496" t="s">
        <v>416</v>
      </c>
      <c r="C757" s="496" t="s">
        <v>448</v>
      </c>
      <c r="D757" s="496" t="s">
        <v>1978</v>
      </c>
      <c r="E757" s="496" t="s">
        <v>1609</v>
      </c>
      <c r="F757" s="505">
        <f>'MCS Budget - Detailed'!N959</f>
        <v>3024</v>
      </c>
      <c r="G757" s="497" t="s">
        <v>448</v>
      </c>
    </row>
    <row r="758" spans="1:8" x14ac:dyDescent="0.2">
      <c r="A758" s="496" t="s">
        <v>2005</v>
      </c>
      <c r="B758" s="496" t="s">
        <v>416</v>
      </c>
      <c r="C758" s="496" t="s">
        <v>448</v>
      </c>
      <c r="D758" s="496" t="s">
        <v>1979</v>
      </c>
      <c r="E758" s="496" t="s">
        <v>1609</v>
      </c>
      <c r="F758" s="505">
        <f>'MCS Budget - Detailed'!N960</f>
        <v>6500</v>
      </c>
      <c r="G758" s="497" t="s">
        <v>448</v>
      </c>
    </row>
    <row r="759" spans="1:8" x14ac:dyDescent="0.2">
      <c r="A759" s="494" t="s">
        <v>2005</v>
      </c>
      <c r="B759" s="496" t="s">
        <v>416</v>
      </c>
      <c r="C759" s="496" t="s">
        <v>448</v>
      </c>
      <c r="D759" s="496" t="s">
        <v>1980</v>
      </c>
      <c r="E759" s="496" t="s">
        <v>1609</v>
      </c>
      <c r="F759" s="505">
        <f>'MCS Budget - Detailed'!N961</f>
        <v>750</v>
      </c>
      <c r="G759" s="497" t="s">
        <v>448</v>
      </c>
    </row>
    <row r="760" spans="1:8" x14ac:dyDescent="0.2">
      <c r="A760" s="496" t="s">
        <v>2005</v>
      </c>
      <c r="B760" s="496" t="s">
        <v>416</v>
      </c>
      <c r="C760" s="496" t="s">
        <v>448</v>
      </c>
      <c r="D760" s="496" t="s">
        <v>1981</v>
      </c>
      <c r="E760" s="496" t="s">
        <v>1609</v>
      </c>
      <c r="F760" s="505">
        <f>'MCS Budget - Detailed'!N963</f>
        <v>3000</v>
      </c>
      <c r="G760" s="497" t="s">
        <v>448</v>
      </c>
    </row>
    <row r="761" spans="1:8" x14ac:dyDescent="0.2">
      <c r="A761" s="494" t="s">
        <v>2005</v>
      </c>
      <c r="B761" s="496" t="s">
        <v>416</v>
      </c>
      <c r="C761" s="496" t="s">
        <v>448</v>
      </c>
      <c r="D761" s="496" t="s">
        <v>2219</v>
      </c>
      <c r="E761" s="496" t="s">
        <v>1609</v>
      </c>
      <c r="F761" s="505">
        <f>'MCS Budget - Detailed'!N966</f>
        <v>20099</v>
      </c>
      <c r="G761" s="497" t="s">
        <v>448</v>
      </c>
      <c r="H761" s="506">
        <f>SUM(F735:F761)</f>
        <v>173297</v>
      </c>
    </row>
    <row r="762" spans="1:8" x14ac:dyDescent="0.2">
      <c r="A762" s="496" t="s">
        <v>2005</v>
      </c>
      <c r="B762" s="496" t="s">
        <v>426</v>
      </c>
      <c r="C762" s="496" t="s">
        <v>448</v>
      </c>
      <c r="D762" s="496" t="s">
        <v>2211</v>
      </c>
      <c r="E762" s="496" t="s">
        <v>1587</v>
      </c>
      <c r="F762" s="505">
        <f>'MCS Budget - Detailed'!N971</f>
        <v>458008</v>
      </c>
      <c r="G762" s="497" t="s">
        <v>448</v>
      </c>
    </row>
    <row r="763" spans="1:8" x14ac:dyDescent="0.2">
      <c r="A763" s="494" t="s">
        <v>2005</v>
      </c>
      <c r="B763" s="496" t="s">
        <v>426</v>
      </c>
      <c r="C763" s="496" t="s">
        <v>448</v>
      </c>
      <c r="D763" s="496" t="s">
        <v>2212</v>
      </c>
      <c r="E763" s="496" t="s">
        <v>1587</v>
      </c>
      <c r="F763" s="505">
        <f>'MCS Budget - Detailed'!N972</f>
        <v>114414</v>
      </c>
      <c r="G763" s="497" t="s">
        <v>448</v>
      </c>
    </row>
    <row r="764" spans="1:8" x14ac:dyDescent="0.2">
      <c r="A764" s="496" t="s">
        <v>2005</v>
      </c>
      <c r="B764" s="496" t="s">
        <v>426</v>
      </c>
      <c r="C764" s="496" t="s">
        <v>448</v>
      </c>
      <c r="D764" s="496" t="s">
        <v>1982</v>
      </c>
      <c r="E764" s="496" t="s">
        <v>1587</v>
      </c>
      <c r="F764" s="505">
        <f>'MCS Budget - Detailed'!N973</f>
        <v>340285</v>
      </c>
      <c r="G764" s="497" t="s">
        <v>448</v>
      </c>
    </row>
    <row r="765" spans="1:8" x14ac:dyDescent="0.2">
      <c r="A765" s="494" t="s">
        <v>2005</v>
      </c>
      <c r="B765" s="496" t="s">
        <v>426</v>
      </c>
      <c r="C765" s="496" t="s">
        <v>448</v>
      </c>
      <c r="D765" s="496" t="s">
        <v>1983</v>
      </c>
      <c r="E765" s="496" t="s">
        <v>1587</v>
      </c>
      <c r="F765" s="505">
        <f>'MCS Budget - Detailed'!N976</f>
        <v>53442</v>
      </c>
      <c r="G765" s="497" t="s">
        <v>448</v>
      </c>
    </row>
    <row r="766" spans="1:8" x14ac:dyDescent="0.2">
      <c r="A766" s="496" t="s">
        <v>2005</v>
      </c>
      <c r="B766" s="496" t="s">
        <v>426</v>
      </c>
      <c r="C766" s="496" t="s">
        <v>448</v>
      </c>
      <c r="D766" s="496" t="s">
        <v>2204</v>
      </c>
      <c r="E766" s="496" t="s">
        <v>1587</v>
      </c>
      <c r="F766" s="505">
        <f>'MCS Budget - Detailed'!N974</f>
        <v>3500</v>
      </c>
      <c r="G766" s="497" t="s">
        <v>448</v>
      </c>
    </row>
    <row r="767" spans="1:8" x14ac:dyDescent="0.2">
      <c r="A767" s="494" t="s">
        <v>2005</v>
      </c>
      <c r="B767" s="496" t="s">
        <v>426</v>
      </c>
      <c r="C767" s="496" t="s">
        <v>448</v>
      </c>
      <c r="D767" s="496" t="s">
        <v>2205</v>
      </c>
      <c r="E767" s="496" t="s">
        <v>1587</v>
      </c>
      <c r="F767" s="505">
        <f>'MCS Budget - Detailed'!N977</f>
        <v>250</v>
      </c>
      <c r="G767" s="497" t="s">
        <v>448</v>
      </c>
    </row>
    <row r="768" spans="1:8" x14ac:dyDescent="0.2">
      <c r="A768" s="496" t="s">
        <v>2005</v>
      </c>
      <c r="B768" s="496" t="s">
        <v>426</v>
      </c>
      <c r="C768" s="496" t="s">
        <v>448</v>
      </c>
      <c r="D768" s="496" t="s">
        <v>1984</v>
      </c>
      <c r="E768" s="496" t="s">
        <v>1587</v>
      </c>
      <c r="F768" s="505">
        <f>'MCS Budget - Detailed'!N975</f>
        <v>2500</v>
      </c>
      <c r="G768" s="497" t="s">
        <v>448</v>
      </c>
    </row>
    <row r="769" spans="1:8" x14ac:dyDescent="0.2">
      <c r="A769" s="494" t="s">
        <v>2005</v>
      </c>
      <c r="B769" s="496" t="s">
        <v>426</v>
      </c>
      <c r="C769" s="496" t="s">
        <v>448</v>
      </c>
      <c r="D769" s="496" t="s">
        <v>1985</v>
      </c>
      <c r="E769" s="496" t="s">
        <v>1587</v>
      </c>
      <c r="F769" s="505">
        <f>'MCS Budget - Detailed'!N978</f>
        <v>800</v>
      </c>
      <c r="G769" s="497" t="s">
        <v>448</v>
      </c>
      <c r="H769" s="506">
        <f>SUM(F762:F769)</f>
        <v>973199</v>
      </c>
    </row>
    <row r="770" spans="1:8" x14ac:dyDescent="0.2">
      <c r="A770" s="496" t="s">
        <v>2005</v>
      </c>
      <c r="B770" s="496" t="s">
        <v>426</v>
      </c>
      <c r="C770" s="496" t="s">
        <v>448</v>
      </c>
      <c r="D770" s="496" t="s">
        <v>1986</v>
      </c>
      <c r="E770" s="496" t="s">
        <v>1609</v>
      </c>
      <c r="F770" s="505">
        <f>'MCS Budget - Detailed'!N982</f>
        <v>1050</v>
      </c>
      <c r="G770" s="497" t="s">
        <v>448</v>
      </c>
    </row>
    <row r="771" spans="1:8" x14ac:dyDescent="0.2">
      <c r="A771" s="494" t="s">
        <v>2005</v>
      </c>
      <c r="B771" s="496" t="s">
        <v>426</v>
      </c>
      <c r="C771" s="496" t="s">
        <v>448</v>
      </c>
      <c r="D771" s="496" t="s">
        <v>1987</v>
      </c>
      <c r="E771" s="496" t="s">
        <v>1609</v>
      </c>
      <c r="F771" s="505">
        <f>'MCS Budget - Detailed'!N983</f>
        <v>152530</v>
      </c>
      <c r="G771" s="497" t="s">
        <v>448</v>
      </c>
    </row>
    <row r="772" spans="1:8" x14ac:dyDescent="0.2">
      <c r="A772" s="496" t="s">
        <v>2005</v>
      </c>
      <c r="B772" s="496" t="s">
        <v>426</v>
      </c>
      <c r="C772" s="496" t="s">
        <v>448</v>
      </c>
      <c r="D772" s="496" t="s">
        <v>1988</v>
      </c>
      <c r="E772" s="496" t="s">
        <v>1609</v>
      </c>
      <c r="F772" s="505">
        <f>'MCS Budget - Detailed'!N984</f>
        <v>183903</v>
      </c>
      <c r="G772" s="497" t="s">
        <v>448</v>
      </c>
    </row>
    <row r="773" spans="1:8" x14ac:dyDescent="0.2">
      <c r="A773" s="494" t="s">
        <v>2005</v>
      </c>
      <c r="B773" s="496" t="s">
        <v>426</v>
      </c>
      <c r="C773" s="496" t="s">
        <v>448</v>
      </c>
      <c r="D773" s="496" t="s">
        <v>1989</v>
      </c>
      <c r="E773" s="496" t="s">
        <v>1609</v>
      </c>
      <c r="F773" s="505">
        <f>'MCS Budget - Detailed'!N986</f>
        <v>466810</v>
      </c>
      <c r="G773" s="497" t="s">
        <v>448</v>
      </c>
    </row>
    <row r="774" spans="1:8" x14ac:dyDescent="0.2">
      <c r="A774" s="496" t="s">
        <v>2005</v>
      </c>
      <c r="B774" s="496" t="s">
        <v>426</v>
      </c>
      <c r="C774" s="496" t="s">
        <v>448</v>
      </c>
      <c r="D774" s="496" t="s">
        <v>1990</v>
      </c>
      <c r="E774" s="496" t="s">
        <v>1609</v>
      </c>
      <c r="F774" s="505">
        <f>'MCS Budget - Detailed'!N989</f>
        <v>1050</v>
      </c>
      <c r="G774" s="497" t="s">
        <v>448</v>
      </c>
    </row>
    <row r="775" spans="1:8" x14ac:dyDescent="0.2">
      <c r="A775" s="494" t="s">
        <v>2005</v>
      </c>
      <c r="B775" s="496" t="s">
        <v>426</v>
      </c>
      <c r="C775" s="496" t="s">
        <v>448</v>
      </c>
      <c r="D775" s="496" t="s">
        <v>1991</v>
      </c>
      <c r="E775" s="496" t="s">
        <v>1609</v>
      </c>
      <c r="F775" s="505">
        <f>'MCS Budget - Detailed'!N990</f>
        <v>17443</v>
      </c>
      <c r="G775" s="497" t="s">
        <v>448</v>
      </c>
    </row>
    <row r="776" spans="1:8" x14ac:dyDescent="0.2">
      <c r="A776" s="496" t="s">
        <v>2005</v>
      </c>
      <c r="B776" s="496" t="s">
        <v>426</v>
      </c>
      <c r="C776" s="496" t="s">
        <v>448</v>
      </c>
      <c r="D776" s="496" t="s">
        <v>1992</v>
      </c>
      <c r="E776" s="496" t="s">
        <v>1609</v>
      </c>
      <c r="F776" s="505">
        <f>'MCS Budget - Detailed'!N991</f>
        <v>35321</v>
      </c>
      <c r="G776" s="497" t="s">
        <v>448</v>
      </c>
    </row>
    <row r="777" spans="1:8" x14ac:dyDescent="0.2">
      <c r="A777" s="494" t="s">
        <v>2005</v>
      </c>
      <c r="B777" s="496" t="s">
        <v>426</v>
      </c>
      <c r="C777" s="496" t="s">
        <v>448</v>
      </c>
      <c r="D777" s="496" t="s">
        <v>1993</v>
      </c>
      <c r="E777" s="496" t="s">
        <v>1609</v>
      </c>
      <c r="F777" s="505">
        <f>'MCS Budget - Detailed'!N993</f>
        <v>115092</v>
      </c>
      <c r="G777" s="497" t="s">
        <v>448</v>
      </c>
      <c r="H777" s="506">
        <f>SUM(F770:F777)</f>
        <v>973199</v>
      </c>
    </row>
    <row r="778" spans="1:8" x14ac:dyDescent="0.2">
      <c r="A778" s="496" t="s">
        <v>2005</v>
      </c>
      <c r="B778" s="496" t="s">
        <v>430</v>
      </c>
      <c r="C778" s="496" t="s">
        <v>448</v>
      </c>
      <c r="D778" s="496" t="s">
        <v>2213</v>
      </c>
      <c r="E778" s="496" t="s">
        <v>1587</v>
      </c>
      <c r="F778" s="505">
        <f>'MCS Budget - Detailed'!N1006</f>
        <v>236826</v>
      </c>
      <c r="G778" s="497" t="s">
        <v>448</v>
      </c>
    </row>
    <row r="779" spans="1:8" x14ac:dyDescent="0.2">
      <c r="A779" s="496" t="s">
        <v>2005</v>
      </c>
      <c r="B779" s="496" t="s">
        <v>430</v>
      </c>
      <c r="C779" s="496" t="s">
        <v>448</v>
      </c>
      <c r="D779" s="496" t="s">
        <v>2206</v>
      </c>
      <c r="E779" s="496" t="s">
        <v>1587</v>
      </c>
      <c r="F779" s="505">
        <f>'MCS Budget - Detailed'!N1007</f>
        <v>40</v>
      </c>
      <c r="G779" s="497" t="s">
        <v>448</v>
      </c>
    </row>
    <row r="780" spans="1:8" x14ac:dyDescent="0.2">
      <c r="A780" s="496" t="s">
        <v>2005</v>
      </c>
      <c r="B780" s="496" t="s">
        <v>430</v>
      </c>
      <c r="C780" s="496" t="s">
        <v>448</v>
      </c>
      <c r="D780" s="496" t="s">
        <v>1994</v>
      </c>
      <c r="E780" s="496" t="s">
        <v>1587</v>
      </c>
      <c r="F780" s="505">
        <f>'MCS Budget - Detailed'!N1008</f>
        <v>3500</v>
      </c>
      <c r="G780" s="497" t="s">
        <v>448</v>
      </c>
    </row>
    <row r="781" spans="1:8" x14ac:dyDescent="0.2">
      <c r="A781" s="494" t="s">
        <v>2005</v>
      </c>
      <c r="B781" s="496" t="s">
        <v>430</v>
      </c>
      <c r="C781" s="496" t="s">
        <v>448</v>
      </c>
      <c r="D781" s="496" t="s">
        <v>1995</v>
      </c>
      <c r="E781" s="496" t="s">
        <v>1587</v>
      </c>
      <c r="F781" s="505">
        <f>'MCS Budget - Detailed'!N1009</f>
        <v>100000</v>
      </c>
      <c r="G781" s="497" t="s">
        <v>448</v>
      </c>
      <c r="H781" s="506">
        <f>SUM(F778:F781)</f>
        <v>340366</v>
      </c>
    </row>
    <row r="782" spans="1:8" x14ac:dyDescent="0.2">
      <c r="A782" s="496" t="s">
        <v>2005</v>
      </c>
      <c r="B782" s="496" t="s">
        <v>430</v>
      </c>
      <c r="C782" s="496" t="s">
        <v>448</v>
      </c>
      <c r="D782" s="496" t="s">
        <v>1996</v>
      </c>
      <c r="E782" s="496" t="s">
        <v>1609</v>
      </c>
      <c r="F782" s="505">
        <f>'MCS Budget - Detailed'!N1014</f>
        <v>30000</v>
      </c>
      <c r="G782" s="497" t="s">
        <v>448</v>
      </c>
    </row>
    <row r="783" spans="1:8" x14ac:dyDescent="0.2">
      <c r="A783" s="494" t="s">
        <v>2005</v>
      </c>
      <c r="B783" s="496" t="s">
        <v>430</v>
      </c>
      <c r="C783" s="496" t="s">
        <v>448</v>
      </c>
      <c r="D783" s="496" t="s">
        <v>2207</v>
      </c>
      <c r="E783" s="496" t="s">
        <v>1609</v>
      </c>
      <c r="F783" s="505">
        <f>'MCS Budget - Detailed'!N1015</f>
        <v>20000</v>
      </c>
      <c r="G783" s="497" t="s">
        <v>448</v>
      </c>
    </row>
    <row r="784" spans="1:8" x14ac:dyDescent="0.2">
      <c r="A784" s="494" t="s">
        <v>2005</v>
      </c>
      <c r="B784" s="496" t="s">
        <v>430</v>
      </c>
      <c r="C784" s="496" t="s">
        <v>448</v>
      </c>
      <c r="D784" s="496" t="s">
        <v>1997</v>
      </c>
      <c r="E784" s="496" t="s">
        <v>1609</v>
      </c>
      <c r="F784" s="505">
        <f>'MCS Budget - Detailed'!N1016</f>
        <v>35000</v>
      </c>
      <c r="G784" s="497" t="s">
        <v>448</v>
      </c>
    </row>
    <row r="785" spans="1:8" x14ac:dyDescent="0.2">
      <c r="A785" s="496" t="s">
        <v>2005</v>
      </c>
      <c r="B785" s="496" t="s">
        <v>430</v>
      </c>
      <c r="C785" s="496" t="s">
        <v>448</v>
      </c>
      <c r="D785" s="496" t="s">
        <v>2216</v>
      </c>
      <c r="E785" s="496" t="s">
        <v>1609</v>
      </c>
      <c r="F785" s="505">
        <f>'MCS Budget - Detailed'!N1021</f>
        <v>203336</v>
      </c>
      <c r="G785" s="497" t="s">
        <v>448</v>
      </c>
    </row>
    <row r="786" spans="1:8" x14ac:dyDescent="0.2">
      <c r="A786" s="496" t="s">
        <v>2005</v>
      </c>
      <c r="B786" s="496" t="s">
        <v>430</v>
      </c>
      <c r="C786" s="496" t="s">
        <v>448</v>
      </c>
      <c r="D786" s="496" t="s">
        <v>2217</v>
      </c>
      <c r="E786" s="496" t="s">
        <v>1609</v>
      </c>
      <c r="F786" s="505">
        <f>'MCS Budget - Detailed'!N1018+'MCS Budget - Detailed'!N1019</f>
        <v>52030</v>
      </c>
      <c r="G786" s="497" t="s">
        <v>448</v>
      </c>
      <c r="H786" s="506">
        <f>SUM(F782:F786)</f>
        <v>340366</v>
      </c>
    </row>
    <row r="787" spans="1:8" x14ac:dyDescent="0.2">
      <c r="A787" s="494" t="s">
        <v>2005</v>
      </c>
      <c r="B787" s="496" t="s">
        <v>2335</v>
      </c>
      <c r="C787" s="496" t="s">
        <v>448</v>
      </c>
      <c r="D787" s="496" t="s">
        <v>2679</v>
      </c>
      <c r="E787" s="496" t="s">
        <v>1587</v>
      </c>
      <c r="F787" s="505">
        <f>'MCS Budget - Detailed'!N1026</f>
        <v>22243</v>
      </c>
      <c r="G787" s="497" t="s">
        <v>448</v>
      </c>
    </row>
    <row r="788" spans="1:8" x14ac:dyDescent="0.2">
      <c r="A788" s="494" t="s">
        <v>2005</v>
      </c>
      <c r="B788" s="496" t="s">
        <v>2335</v>
      </c>
      <c r="C788" s="496" t="s">
        <v>448</v>
      </c>
      <c r="D788" s="496" t="s">
        <v>2680</v>
      </c>
      <c r="E788" s="496" t="s">
        <v>1587</v>
      </c>
      <c r="F788" s="505">
        <f>'MCS Budget - Detailed'!N1027</f>
        <v>80000</v>
      </c>
      <c r="G788" s="497" t="s">
        <v>448</v>
      </c>
    </row>
    <row r="789" spans="1:8" x14ac:dyDescent="0.2">
      <c r="A789" s="496" t="s">
        <v>2005</v>
      </c>
      <c r="B789" s="496" t="s">
        <v>2335</v>
      </c>
      <c r="C789" s="496" t="s">
        <v>448</v>
      </c>
      <c r="D789" s="496" t="s">
        <v>2681</v>
      </c>
      <c r="E789" s="496" t="s">
        <v>1609</v>
      </c>
      <c r="F789" s="505">
        <f>'MCS Budget - Detailed'!N1031</f>
        <v>102243</v>
      </c>
      <c r="G789" s="497" t="s">
        <v>448</v>
      </c>
    </row>
    <row r="790" spans="1:8" x14ac:dyDescent="0.2">
      <c r="A790" s="494" t="s">
        <v>2005</v>
      </c>
      <c r="B790" s="496" t="s">
        <v>580</v>
      </c>
      <c r="C790" s="496" t="s">
        <v>448</v>
      </c>
      <c r="D790" s="496" t="s">
        <v>2221</v>
      </c>
      <c r="E790" s="496" t="s">
        <v>1587</v>
      </c>
      <c r="F790" s="505">
        <f>'CCS Budget - Detailed'!H2</f>
        <v>826262</v>
      </c>
      <c r="G790" s="497" t="s">
        <v>448</v>
      </c>
    </row>
    <row r="791" spans="1:8" x14ac:dyDescent="0.2">
      <c r="A791" s="494" t="s">
        <v>2005</v>
      </c>
      <c r="B791" s="496" t="s">
        <v>580</v>
      </c>
      <c r="C791" s="496" t="s">
        <v>448</v>
      </c>
      <c r="D791" s="496" t="s">
        <v>753</v>
      </c>
      <c r="E791" s="496" t="s">
        <v>1587</v>
      </c>
      <c r="F791" s="505">
        <f>'CCS Budget - Detailed'!H4</f>
        <v>1848</v>
      </c>
      <c r="G791" s="497" t="s">
        <v>448</v>
      </c>
    </row>
    <row r="792" spans="1:8" x14ac:dyDescent="0.2">
      <c r="A792" s="496" t="s">
        <v>2005</v>
      </c>
      <c r="B792" s="496" t="s">
        <v>580</v>
      </c>
      <c r="C792" s="496" t="s">
        <v>448</v>
      </c>
      <c r="D792" s="496" t="s">
        <v>755</v>
      </c>
      <c r="E792" s="496" t="s">
        <v>1587</v>
      </c>
      <c r="F792" s="505">
        <f>'CCS Budget - Detailed'!H5</f>
        <v>5000</v>
      </c>
      <c r="G792" s="497" t="s">
        <v>448</v>
      </c>
    </row>
    <row r="793" spans="1:8" x14ac:dyDescent="0.2">
      <c r="A793" s="496" t="s">
        <v>2005</v>
      </c>
      <c r="B793" s="496" t="s">
        <v>580</v>
      </c>
      <c r="C793" s="496" t="s">
        <v>448</v>
      </c>
      <c r="D793" s="496" t="s">
        <v>768</v>
      </c>
      <c r="E793" s="496" t="s">
        <v>1587</v>
      </c>
      <c r="F793" s="505">
        <f>'CCS Budget - Detailed'!H6</f>
        <v>10389</v>
      </c>
      <c r="G793" s="497" t="s">
        <v>448</v>
      </c>
    </row>
    <row r="794" spans="1:8" x14ac:dyDescent="0.2">
      <c r="A794" s="494" t="s">
        <v>2005</v>
      </c>
      <c r="B794" s="496" t="s">
        <v>580</v>
      </c>
      <c r="C794" s="496" t="s">
        <v>448</v>
      </c>
      <c r="D794" s="496" t="s">
        <v>2468</v>
      </c>
      <c r="E794" s="496" t="s">
        <v>1587</v>
      </c>
      <c r="F794" s="505">
        <f>'CCS Budget - Detailed'!H9</f>
        <v>60000</v>
      </c>
      <c r="G794" s="497" t="s">
        <v>448</v>
      </c>
    </row>
    <row r="795" spans="1:8" x14ac:dyDescent="0.2">
      <c r="A795" s="494" t="s">
        <v>2005</v>
      </c>
      <c r="B795" s="496" t="s">
        <v>580</v>
      </c>
      <c r="C795" s="496" t="s">
        <v>448</v>
      </c>
      <c r="D795" s="496" t="s">
        <v>757</v>
      </c>
      <c r="E795" s="496" t="s">
        <v>1587</v>
      </c>
      <c r="F795" s="505">
        <f>'CCS Budget - Detailed'!H10</f>
        <v>9157</v>
      </c>
      <c r="G795" s="497" t="s">
        <v>448</v>
      </c>
    </row>
    <row r="796" spans="1:8" x14ac:dyDescent="0.2">
      <c r="A796" s="496" t="s">
        <v>2005</v>
      </c>
      <c r="B796" s="496" t="s">
        <v>580</v>
      </c>
      <c r="C796" s="496" t="s">
        <v>448</v>
      </c>
      <c r="D796" s="496" t="s">
        <v>759</v>
      </c>
      <c r="E796" s="496" t="s">
        <v>1587</v>
      </c>
      <c r="F796" s="505">
        <f>'CCS Budget - Detailed'!H11</f>
        <v>4800</v>
      </c>
      <c r="G796" s="497" t="s">
        <v>448</v>
      </c>
    </row>
    <row r="797" spans="1:8" x14ac:dyDescent="0.2">
      <c r="A797" s="494" t="s">
        <v>2005</v>
      </c>
      <c r="B797" s="496" t="s">
        <v>580</v>
      </c>
      <c r="C797" s="496" t="s">
        <v>448</v>
      </c>
      <c r="D797" s="496" t="s">
        <v>761</v>
      </c>
      <c r="E797" s="496" t="s">
        <v>1587</v>
      </c>
      <c r="F797" s="505">
        <f>'CCS Budget - Detailed'!H12</f>
        <v>5389</v>
      </c>
      <c r="G797" s="497" t="s">
        <v>448</v>
      </c>
    </row>
    <row r="798" spans="1:8" x14ac:dyDescent="0.2">
      <c r="A798" s="496" t="s">
        <v>2005</v>
      </c>
      <c r="B798" s="496" t="s">
        <v>580</v>
      </c>
      <c r="C798" s="496" t="s">
        <v>448</v>
      </c>
      <c r="D798" s="496" t="s">
        <v>2222</v>
      </c>
      <c r="E798" s="496" t="s">
        <v>1587</v>
      </c>
      <c r="F798" s="505">
        <f>'CCS Budget - Detailed'!H13</f>
        <v>30840</v>
      </c>
      <c r="G798" s="497" t="s">
        <v>448</v>
      </c>
    </row>
    <row r="799" spans="1:8" x14ac:dyDescent="0.2">
      <c r="A799" s="496" t="s">
        <v>2005</v>
      </c>
      <c r="B799" s="496" t="s">
        <v>580</v>
      </c>
      <c r="C799" s="496" t="s">
        <v>448</v>
      </c>
      <c r="D799" s="496" t="s">
        <v>2225</v>
      </c>
      <c r="E799" s="496" t="s">
        <v>1587</v>
      </c>
      <c r="F799" s="505">
        <f>'CCS Budget - Detailed'!H14</f>
        <v>2290</v>
      </c>
      <c r="G799" s="497" t="s">
        <v>448</v>
      </c>
    </row>
    <row r="800" spans="1:8" x14ac:dyDescent="0.2">
      <c r="A800" s="496" t="s">
        <v>2005</v>
      </c>
      <c r="B800" s="496" t="s">
        <v>580</v>
      </c>
      <c r="C800" s="496" t="s">
        <v>448</v>
      </c>
      <c r="D800" s="496" t="s">
        <v>2478</v>
      </c>
      <c r="E800" s="496" t="s">
        <v>1587</v>
      </c>
      <c r="F800" s="505">
        <f>'CCS Budget - Detailed'!H15</f>
        <v>1087</v>
      </c>
      <c r="G800" s="497" t="s">
        <v>448</v>
      </c>
    </row>
    <row r="801" spans="1:8" x14ac:dyDescent="0.2">
      <c r="A801" s="496" t="s">
        <v>2005</v>
      </c>
      <c r="B801" s="496" t="s">
        <v>580</v>
      </c>
      <c r="C801" s="496" t="s">
        <v>448</v>
      </c>
      <c r="D801" s="496" t="s">
        <v>2477</v>
      </c>
      <c r="E801" s="496" t="s">
        <v>1587</v>
      </c>
      <c r="F801" s="505">
        <f>'CCS Budget - Detailed'!H16</f>
        <v>926</v>
      </c>
      <c r="G801" s="497" t="s">
        <v>448</v>
      </c>
    </row>
    <row r="802" spans="1:8" x14ac:dyDescent="0.2">
      <c r="A802" s="496" t="s">
        <v>2005</v>
      </c>
      <c r="B802" s="496" t="s">
        <v>580</v>
      </c>
      <c r="C802" s="496" t="s">
        <v>448</v>
      </c>
      <c r="D802" s="496" t="s">
        <v>1398</v>
      </c>
      <c r="E802" s="496" t="s">
        <v>1587</v>
      </c>
      <c r="F802" s="505">
        <f>'CCS Budget - Detailed'!H17</f>
        <v>51541</v>
      </c>
      <c r="G802" s="497" t="s">
        <v>448</v>
      </c>
    </row>
    <row r="803" spans="1:8" x14ac:dyDescent="0.2">
      <c r="A803" s="496" t="s">
        <v>2005</v>
      </c>
      <c r="B803" s="496" t="s">
        <v>580</v>
      </c>
      <c r="C803" s="496" t="s">
        <v>448</v>
      </c>
      <c r="D803" s="496" t="s">
        <v>770</v>
      </c>
      <c r="E803" s="496" t="s">
        <v>1587</v>
      </c>
      <c r="F803" s="505">
        <f>'CCS Budget - Detailed'!H18</f>
        <v>4474</v>
      </c>
      <c r="G803" s="497" t="s">
        <v>448</v>
      </c>
    </row>
    <row r="804" spans="1:8" x14ac:dyDescent="0.2">
      <c r="A804" s="496" t="s">
        <v>2005</v>
      </c>
      <c r="B804" s="496" t="s">
        <v>580</v>
      </c>
      <c r="C804" s="496" t="s">
        <v>448</v>
      </c>
      <c r="D804" s="496" t="s">
        <v>1394</v>
      </c>
      <c r="E804" s="496" t="s">
        <v>1587</v>
      </c>
      <c r="F804" s="505">
        <f>'CCS Budget - Detailed'!H19</f>
        <v>20918</v>
      </c>
      <c r="G804" s="497" t="s">
        <v>448</v>
      </c>
    </row>
    <row r="805" spans="1:8" x14ac:dyDescent="0.2">
      <c r="A805" s="496" t="s">
        <v>2005</v>
      </c>
      <c r="B805" s="496" t="s">
        <v>580</v>
      </c>
      <c r="C805" s="496" t="s">
        <v>448</v>
      </c>
      <c r="D805" s="496" t="s">
        <v>2472</v>
      </c>
      <c r="E805" s="496" t="s">
        <v>1587</v>
      </c>
      <c r="F805" s="505">
        <f>'CCS Budget - Detailed'!H20</f>
        <v>995</v>
      </c>
      <c r="G805" s="497" t="s">
        <v>448</v>
      </c>
    </row>
    <row r="806" spans="1:8" x14ac:dyDescent="0.2">
      <c r="A806" s="496" t="s">
        <v>2005</v>
      </c>
      <c r="B806" s="496" t="s">
        <v>580</v>
      </c>
      <c r="C806" s="496" t="s">
        <v>448</v>
      </c>
      <c r="D806" s="496" t="s">
        <v>2470</v>
      </c>
      <c r="E806" s="496" t="s">
        <v>1587</v>
      </c>
      <c r="F806" s="505">
        <f>'CCS Budget - Detailed'!H21</f>
        <v>6546</v>
      </c>
      <c r="G806" s="497" t="s">
        <v>448</v>
      </c>
    </row>
    <row r="807" spans="1:8" x14ac:dyDescent="0.2">
      <c r="A807" s="496" t="s">
        <v>2005</v>
      </c>
      <c r="B807" s="496" t="s">
        <v>580</v>
      </c>
      <c r="C807" s="496" t="s">
        <v>448</v>
      </c>
      <c r="D807" s="496" t="s">
        <v>2474</v>
      </c>
      <c r="E807" s="496" t="s">
        <v>1587</v>
      </c>
      <c r="F807" s="505">
        <f>'CCS Budget - Detailed'!H22</f>
        <v>0</v>
      </c>
      <c r="G807" s="497" t="s">
        <v>448</v>
      </c>
    </row>
    <row r="808" spans="1:8" x14ac:dyDescent="0.2">
      <c r="A808" s="496" t="s">
        <v>2005</v>
      </c>
      <c r="B808" s="496" t="s">
        <v>580</v>
      </c>
      <c r="C808" s="496" t="s">
        <v>448</v>
      </c>
      <c r="D808" s="496" t="s">
        <v>1389</v>
      </c>
      <c r="E808" s="496" t="s">
        <v>1587</v>
      </c>
      <c r="F808" s="505">
        <f>'CCS Budget - Detailed'!H23</f>
        <v>31102</v>
      </c>
      <c r="G808" s="497" t="s">
        <v>448</v>
      </c>
    </row>
    <row r="809" spans="1:8" x14ac:dyDescent="0.2">
      <c r="A809" s="494" t="s">
        <v>2005</v>
      </c>
      <c r="B809" s="496" t="s">
        <v>580</v>
      </c>
      <c r="C809" s="496" t="s">
        <v>448</v>
      </c>
      <c r="D809" s="496" t="s">
        <v>1391</v>
      </c>
      <c r="E809" s="496" t="s">
        <v>1587</v>
      </c>
      <c r="F809" s="505">
        <f>'CCS Budget - Detailed'!H24</f>
        <v>4878</v>
      </c>
      <c r="G809" s="497" t="s">
        <v>448</v>
      </c>
    </row>
    <row r="810" spans="1:8" x14ac:dyDescent="0.2">
      <c r="A810" s="494" t="s">
        <v>2005</v>
      </c>
      <c r="B810" s="496" t="s">
        <v>580</v>
      </c>
      <c r="C810" s="496" t="s">
        <v>448</v>
      </c>
      <c r="D810" s="496" t="s">
        <v>2223</v>
      </c>
      <c r="E810" s="496" t="s">
        <v>1587</v>
      </c>
      <c r="F810" s="505">
        <f>'CCS Budget - Detailed'!H25</f>
        <v>3377</v>
      </c>
      <c r="G810" s="497" t="s">
        <v>448</v>
      </c>
    </row>
    <row r="811" spans="1:8" x14ac:dyDescent="0.2">
      <c r="A811" s="494" t="s">
        <v>2005</v>
      </c>
      <c r="B811" s="496" t="s">
        <v>580</v>
      </c>
      <c r="C811" s="496" t="s">
        <v>448</v>
      </c>
      <c r="D811" s="496" t="s">
        <v>1396</v>
      </c>
      <c r="E811" s="496" t="s">
        <v>1587</v>
      </c>
      <c r="F811" s="505">
        <f>'CCS Budget - Detailed'!H26</f>
        <v>74498</v>
      </c>
      <c r="G811" s="497" t="s">
        <v>448</v>
      </c>
    </row>
    <row r="812" spans="1:8" x14ac:dyDescent="0.2">
      <c r="A812" s="494" t="s">
        <v>2005</v>
      </c>
      <c r="B812" s="496" t="s">
        <v>580</v>
      </c>
      <c r="C812" s="496" t="s">
        <v>448</v>
      </c>
      <c r="D812" s="496" t="s">
        <v>2224</v>
      </c>
      <c r="E812" s="496" t="s">
        <v>1587</v>
      </c>
      <c r="F812" s="505">
        <f>'CCS Budget - Detailed'!H27</f>
        <v>4746</v>
      </c>
      <c r="G812" s="497" t="s">
        <v>448</v>
      </c>
    </row>
    <row r="813" spans="1:8" x14ac:dyDescent="0.2">
      <c r="A813" s="496" t="s">
        <v>2005</v>
      </c>
      <c r="B813" s="496" t="s">
        <v>580</v>
      </c>
      <c r="C813" s="496" t="s">
        <v>448</v>
      </c>
      <c r="D813" s="496" t="s">
        <v>2226</v>
      </c>
      <c r="E813" s="496" t="s">
        <v>1587</v>
      </c>
      <c r="F813" s="505">
        <f>-'CCS Budget - Detailed'!H34</f>
        <v>-168465</v>
      </c>
      <c r="G813" s="497" t="s">
        <v>448</v>
      </c>
    </row>
    <row r="814" spans="1:8" x14ac:dyDescent="0.2">
      <c r="A814" s="496" t="s">
        <v>2005</v>
      </c>
      <c r="B814" s="496" t="s">
        <v>580</v>
      </c>
      <c r="C814" s="496" t="s">
        <v>448</v>
      </c>
      <c r="D814" s="496" t="s">
        <v>764</v>
      </c>
      <c r="E814" s="496" t="s">
        <v>1587</v>
      </c>
      <c r="F814" s="505">
        <f>'CCS Budget - Detailed'!H28</f>
        <v>1247136</v>
      </c>
      <c r="G814" s="497" t="s">
        <v>448</v>
      </c>
      <c r="H814" s="506">
        <f>SUM(F790:F814)</f>
        <v>2239734</v>
      </c>
    </row>
    <row r="815" spans="1:8" x14ac:dyDescent="0.2">
      <c r="A815" s="494" t="s">
        <v>2005</v>
      </c>
      <c r="B815" s="496" t="s">
        <v>580</v>
      </c>
      <c r="C815" s="496" t="s">
        <v>448</v>
      </c>
      <c r="D815" s="496" t="s">
        <v>776</v>
      </c>
      <c r="E815" s="496" t="s">
        <v>1609</v>
      </c>
      <c r="F815" s="505">
        <f>'CCS Budget - Detailed'!H38</f>
        <v>49741</v>
      </c>
      <c r="G815" s="497" t="s">
        <v>448</v>
      </c>
    </row>
    <row r="816" spans="1:8" x14ac:dyDescent="0.2">
      <c r="A816" s="496" t="s">
        <v>2005</v>
      </c>
      <c r="B816" s="496" t="s">
        <v>580</v>
      </c>
      <c r="C816" s="496" t="s">
        <v>448</v>
      </c>
      <c r="D816" s="496" t="s">
        <v>2227</v>
      </c>
      <c r="E816" s="496" t="s">
        <v>1609</v>
      </c>
      <c r="F816" s="505">
        <f>'CCS Budget - Detailed'!H40</f>
        <v>149</v>
      </c>
      <c r="G816" s="497" t="s">
        <v>448</v>
      </c>
    </row>
    <row r="817" spans="1:7" x14ac:dyDescent="0.2">
      <c r="A817" s="494" t="s">
        <v>2005</v>
      </c>
      <c r="B817" s="496" t="s">
        <v>580</v>
      </c>
      <c r="C817" s="496" t="s">
        <v>448</v>
      </c>
      <c r="D817" s="496" t="s">
        <v>778</v>
      </c>
      <c r="E817" s="496" t="s">
        <v>1609</v>
      </c>
      <c r="F817" s="505">
        <f>'CCS Budget - Detailed'!H41</f>
        <v>721</v>
      </c>
      <c r="G817" s="497" t="s">
        <v>448</v>
      </c>
    </row>
    <row r="818" spans="1:7" x14ac:dyDescent="0.2">
      <c r="A818" s="496" t="s">
        <v>2005</v>
      </c>
      <c r="B818" s="496" t="s">
        <v>580</v>
      </c>
      <c r="C818" s="496" t="s">
        <v>448</v>
      </c>
      <c r="D818" s="496" t="s">
        <v>779</v>
      </c>
      <c r="E818" s="496" t="s">
        <v>1609</v>
      </c>
      <c r="F818" s="505">
        <f>'CCS Budget - Detailed'!H42</f>
        <v>10147</v>
      </c>
      <c r="G818" s="497" t="s">
        <v>448</v>
      </c>
    </row>
    <row r="819" spans="1:7" x14ac:dyDescent="0.2">
      <c r="A819" s="494" t="s">
        <v>2005</v>
      </c>
      <c r="B819" s="496" t="s">
        <v>580</v>
      </c>
      <c r="C819" s="496" t="s">
        <v>448</v>
      </c>
      <c r="D819" s="496" t="s">
        <v>780</v>
      </c>
      <c r="E819" s="496" t="s">
        <v>1609</v>
      </c>
      <c r="F819" s="505">
        <f>'CCS Budget - Detailed'!H43</f>
        <v>6170</v>
      </c>
      <c r="G819" s="497" t="s">
        <v>448</v>
      </c>
    </row>
    <row r="820" spans="1:7" x14ac:dyDescent="0.2">
      <c r="A820" s="496" t="s">
        <v>2005</v>
      </c>
      <c r="B820" s="496" t="s">
        <v>580</v>
      </c>
      <c r="C820" s="496" t="s">
        <v>448</v>
      </c>
      <c r="D820" s="496" t="s">
        <v>782</v>
      </c>
      <c r="E820" s="496" t="s">
        <v>1609</v>
      </c>
      <c r="F820" s="505">
        <f>'CCS Budget - Detailed'!H44</f>
        <v>1200</v>
      </c>
      <c r="G820" s="497" t="s">
        <v>448</v>
      </c>
    </row>
    <row r="821" spans="1:7" x14ac:dyDescent="0.2">
      <c r="A821" s="494" t="s">
        <v>2005</v>
      </c>
      <c r="B821" s="496" t="s">
        <v>580</v>
      </c>
      <c r="C821" s="496" t="s">
        <v>448</v>
      </c>
      <c r="D821" s="496" t="s">
        <v>784</v>
      </c>
      <c r="E821" s="496" t="s">
        <v>1609</v>
      </c>
      <c r="F821" s="505">
        <f>'CCS Budget - Detailed'!H45</f>
        <v>750</v>
      </c>
      <c r="G821" s="497" t="s">
        <v>448</v>
      </c>
    </row>
    <row r="822" spans="1:7" x14ac:dyDescent="0.2">
      <c r="A822" s="496" t="s">
        <v>2005</v>
      </c>
      <c r="B822" s="496" t="s">
        <v>580</v>
      </c>
      <c r="C822" s="496" t="s">
        <v>448</v>
      </c>
      <c r="D822" s="496" t="s">
        <v>786</v>
      </c>
      <c r="E822" s="496" t="s">
        <v>1609</v>
      </c>
      <c r="F822" s="505">
        <f>'CCS Budget - Detailed'!H46</f>
        <v>250</v>
      </c>
      <c r="G822" s="497" t="s">
        <v>448</v>
      </c>
    </row>
    <row r="823" spans="1:7" x14ac:dyDescent="0.2">
      <c r="A823" s="496" t="s">
        <v>2005</v>
      </c>
      <c r="B823" s="496" t="s">
        <v>580</v>
      </c>
      <c r="C823" s="496" t="s">
        <v>448</v>
      </c>
      <c r="D823" s="496" t="s">
        <v>2481</v>
      </c>
      <c r="E823" s="496" t="s">
        <v>1609</v>
      </c>
      <c r="F823" s="505">
        <f>'CCS Budget - Detailed'!H47</f>
        <v>6546</v>
      </c>
      <c r="G823" s="497" t="s">
        <v>1756</v>
      </c>
    </row>
    <row r="824" spans="1:7" x14ac:dyDescent="0.2">
      <c r="A824" s="494" t="s">
        <v>2005</v>
      </c>
      <c r="B824" s="496" t="s">
        <v>580</v>
      </c>
      <c r="C824" s="496" t="s">
        <v>448</v>
      </c>
      <c r="D824" s="496" t="s">
        <v>789</v>
      </c>
      <c r="E824" s="496" t="s">
        <v>1609</v>
      </c>
      <c r="F824" s="505">
        <f>'CCS Budget - Detailed'!H50</f>
        <v>38365</v>
      </c>
      <c r="G824" s="497" t="s">
        <v>448</v>
      </c>
    </row>
    <row r="825" spans="1:7" x14ac:dyDescent="0.2">
      <c r="A825" s="496" t="s">
        <v>2005</v>
      </c>
      <c r="B825" s="496" t="s">
        <v>580</v>
      </c>
      <c r="C825" s="496" t="s">
        <v>448</v>
      </c>
      <c r="D825" s="496" t="s">
        <v>2228</v>
      </c>
      <c r="E825" s="496" t="s">
        <v>1609</v>
      </c>
      <c r="F825" s="505">
        <f>'CCS Budget - Detailed'!H51</f>
        <v>115</v>
      </c>
      <c r="G825" s="497" t="s">
        <v>448</v>
      </c>
    </row>
    <row r="826" spans="1:7" x14ac:dyDescent="0.2">
      <c r="A826" s="494" t="s">
        <v>2005</v>
      </c>
      <c r="B826" s="496" t="s">
        <v>580</v>
      </c>
      <c r="C826" s="496" t="s">
        <v>448</v>
      </c>
      <c r="D826" s="496" t="s">
        <v>791</v>
      </c>
      <c r="E826" s="496" t="s">
        <v>1609</v>
      </c>
      <c r="F826" s="505">
        <f>'CCS Budget - Detailed'!H52</f>
        <v>556</v>
      </c>
      <c r="G826" s="497" t="s">
        <v>448</v>
      </c>
    </row>
    <row r="827" spans="1:7" x14ac:dyDescent="0.2">
      <c r="A827" s="496" t="s">
        <v>2005</v>
      </c>
      <c r="B827" s="496" t="s">
        <v>580</v>
      </c>
      <c r="C827" s="496" t="s">
        <v>448</v>
      </c>
      <c r="D827" s="496" t="s">
        <v>792</v>
      </c>
      <c r="E827" s="496" t="s">
        <v>1609</v>
      </c>
      <c r="F827" s="505">
        <f>'CCS Budget - Detailed'!H53</f>
        <v>7826</v>
      </c>
      <c r="G827" s="497" t="s">
        <v>448</v>
      </c>
    </row>
    <row r="828" spans="1:7" x14ac:dyDescent="0.2">
      <c r="A828" s="494" t="s">
        <v>2005</v>
      </c>
      <c r="B828" s="496" t="s">
        <v>580</v>
      </c>
      <c r="C828" s="496" t="s">
        <v>448</v>
      </c>
      <c r="D828" s="496" t="s">
        <v>793</v>
      </c>
      <c r="E828" s="496" t="s">
        <v>1609</v>
      </c>
      <c r="F828" s="505">
        <f>'CCS Budget - Detailed'!H54</f>
        <v>6170</v>
      </c>
      <c r="G828" s="497" t="s">
        <v>448</v>
      </c>
    </row>
    <row r="829" spans="1:7" x14ac:dyDescent="0.2">
      <c r="A829" s="496" t="s">
        <v>2005</v>
      </c>
      <c r="B829" s="496" t="s">
        <v>580</v>
      </c>
      <c r="C829" s="496" t="s">
        <v>448</v>
      </c>
      <c r="D829" s="496" t="s">
        <v>794</v>
      </c>
      <c r="E829" s="496" t="s">
        <v>1609</v>
      </c>
      <c r="F829" s="505">
        <f>'CCS Budget - Detailed'!H55</f>
        <v>2000</v>
      </c>
      <c r="G829" s="497" t="s">
        <v>448</v>
      </c>
    </row>
    <row r="830" spans="1:7" x14ac:dyDescent="0.2">
      <c r="A830" s="494" t="s">
        <v>2005</v>
      </c>
      <c r="B830" s="496" t="s">
        <v>580</v>
      </c>
      <c r="C830" s="496" t="s">
        <v>448</v>
      </c>
      <c r="D830" s="496" t="s">
        <v>795</v>
      </c>
      <c r="E830" s="496" t="s">
        <v>1609</v>
      </c>
      <c r="F830" s="505">
        <f>'CCS Budget - Detailed'!H56</f>
        <v>750</v>
      </c>
      <c r="G830" s="497" t="s">
        <v>448</v>
      </c>
    </row>
    <row r="831" spans="1:7" x14ac:dyDescent="0.2">
      <c r="A831" s="496" t="s">
        <v>2005</v>
      </c>
      <c r="B831" s="496" t="s">
        <v>580</v>
      </c>
      <c r="C831" s="496" t="s">
        <v>448</v>
      </c>
      <c r="D831" s="496" t="s">
        <v>796</v>
      </c>
      <c r="E831" s="496" t="s">
        <v>1609</v>
      </c>
      <c r="F831" s="505">
        <f>'CCS Budget - Detailed'!H57</f>
        <v>250</v>
      </c>
      <c r="G831" s="497" t="s">
        <v>448</v>
      </c>
    </row>
    <row r="832" spans="1:7" x14ac:dyDescent="0.2">
      <c r="A832" s="494" t="s">
        <v>2005</v>
      </c>
      <c r="B832" s="496" t="s">
        <v>580</v>
      </c>
      <c r="C832" s="496" t="s">
        <v>448</v>
      </c>
      <c r="D832" s="496" t="s">
        <v>798</v>
      </c>
      <c r="E832" s="496" t="s">
        <v>1609</v>
      </c>
      <c r="F832" s="505">
        <f>'CCS Budget - Detailed'!H60</f>
        <v>33309</v>
      </c>
      <c r="G832" s="497" t="s">
        <v>448</v>
      </c>
    </row>
    <row r="833" spans="1:7" x14ac:dyDescent="0.2">
      <c r="A833" s="496" t="s">
        <v>2005</v>
      </c>
      <c r="B833" s="496" t="s">
        <v>580</v>
      </c>
      <c r="C833" s="496" t="s">
        <v>448</v>
      </c>
      <c r="D833" s="496" t="s">
        <v>2229</v>
      </c>
      <c r="E833" s="496" t="s">
        <v>1609</v>
      </c>
      <c r="F833" s="505">
        <f>'CCS Budget - Detailed'!H61</f>
        <v>100</v>
      </c>
      <c r="G833" s="497" t="s">
        <v>448</v>
      </c>
    </row>
    <row r="834" spans="1:7" x14ac:dyDescent="0.2">
      <c r="A834" s="494" t="s">
        <v>2005</v>
      </c>
      <c r="B834" s="496" t="s">
        <v>580</v>
      </c>
      <c r="C834" s="496" t="s">
        <v>448</v>
      </c>
      <c r="D834" s="496" t="s">
        <v>800</v>
      </c>
      <c r="E834" s="496" t="s">
        <v>1609</v>
      </c>
      <c r="F834" s="505">
        <f>'CCS Budget - Detailed'!H62</f>
        <v>483</v>
      </c>
      <c r="G834" s="497" t="s">
        <v>448</v>
      </c>
    </row>
    <row r="835" spans="1:7" x14ac:dyDescent="0.2">
      <c r="A835" s="496" t="s">
        <v>2005</v>
      </c>
      <c r="B835" s="496" t="s">
        <v>580</v>
      </c>
      <c r="C835" s="496" t="s">
        <v>448</v>
      </c>
      <c r="D835" s="496" t="s">
        <v>801</v>
      </c>
      <c r="E835" s="496" t="s">
        <v>1609</v>
      </c>
      <c r="F835" s="505">
        <f>'CCS Budget - Detailed'!H63</f>
        <v>6795</v>
      </c>
      <c r="G835" s="497" t="s">
        <v>448</v>
      </c>
    </row>
    <row r="836" spans="1:7" x14ac:dyDescent="0.2">
      <c r="A836" s="494" t="s">
        <v>2005</v>
      </c>
      <c r="B836" s="496" t="s">
        <v>580</v>
      </c>
      <c r="C836" s="496" t="s">
        <v>448</v>
      </c>
      <c r="D836" s="496" t="s">
        <v>2230</v>
      </c>
      <c r="E836" s="496" t="s">
        <v>1609</v>
      </c>
      <c r="F836" s="505">
        <f>'CCS Budget - Detailed'!H64</f>
        <v>6170</v>
      </c>
      <c r="G836" s="497" t="s">
        <v>448</v>
      </c>
    </row>
    <row r="837" spans="1:7" x14ac:dyDescent="0.2">
      <c r="A837" s="496" t="s">
        <v>2005</v>
      </c>
      <c r="B837" s="496" t="s">
        <v>580</v>
      </c>
      <c r="C837" s="496" t="s">
        <v>448</v>
      </c>
      <c r="D837" s="496" t="s">
        <v>804</v>
      </c>
      <c r="E837" s="496" t="s">
        <v>1609</v>
      </c>
      <c r="F837" s="505">
        <f>'CCS Budget - Detailed'!H65</f>
        <v>11000</v>
      </c>
      <c r="G837" s="497" t="s">
        <v>448</v>
      </c>
    </row>
    <row r="838" spans="1:7" x14ac:dyDescent="0.2">
      <c r="A838" s="494" t="s">
        <v>2005</v>
      </c>
      <c r="B838" s="496" t="s">
        <v>580</v>
      </c>
      <c r="C838" s="496" t="s">
        <v>448</v>
      </c>
      <c r="D838" s="496" t="s">
        <v>805</v>
      </c>
      <c r="E838" s="496" t="s">
        <v>1609</v>
      </c>
      <c r="F838" s="505">
        <f>'CCS Budget - Detailed'!H66</f>
        <v>750</v>
      </c>
      <c r="G838" s="497" t="s">
        <v>448</v>
      </c>
    </row>
    <row r="839" spans="1:7" x14ac:dyDescent="0.2">
      <c r="A839" s="496" t="s">
        <v>2005</v>
      </c>
      <c r="B839" s="496" t="s">
        <v>580</v>
      </c>
      <c r="C839" s="496" t="s">
        <v>448</v>
      </c>
      <c r="D839" s="496" t="s">
        <v>807</v>
      </c>
      <c r="E839" s="496" t="s">
        <v>1609</v>
      </c>
      <c r="F839" s="505">
        <f>'CCS Budget - Detailed'!H67</f>
        <v>500</v>
      </c>
      <c r="G839" s="497" t="s">
        <v>448</v>
      </c>
    </row>
    <row r="840" spans="1:7" x14ac:dyDescent="0.2">
      <c r="A840" s="494" t="s">
        <v>2005</v>
      </c>
      <c r="B840" s="496" t="s">
        <v>580</v>
      </c>
      <c r="C840" s="496" t="s">
        <v>448</v>
      </c>
      <c r="D840" s="496" t="s">
        <v>809</v>
      </c>
      <c r="E840" s="496" t="s">
        <v>1609</v>
      </c>
      <c r="F840" s="505">
        <f>'CCS Budget - Detailed'!H70</f>
        <v>43720</v>
      </c>
      <c r="G840" s="497" t="s">
        <v>448</v>
      </c>
    </row>
    <row r="841" spans="1:7" x14ac:dyDescent="0.2">
      <c r="A841" s="496" t="s">
        <v>2005</v>
      </c>
      <c r="B841" s="496" t="s">
        <v>580</v>
      </c>
      <c r="C841" s="496" t="s">
        <v>448</v>
      </c>
      <c r="D841" s="496" t="s">
        <v>2231</v>
      </c>
      <c r="E841" s="496" t="s">
        <v>1609</v>
      </c>
      <c r="F841" s="505">
        <f>'CCS Budget - Detailed'!H71</f>
        <v>131</v>
      </c>
      <c r="G841" s="497" t="s">
        <v>448</v>
      </c>
    </row>
    <row r="842" spans="1:7" x14ac:dyDescent="0.2">
      <c r="A842" s="494" t="s">
        <v>2005</v>
      </c>
      <c r="B842" s="496" t="s">
        <v>580</v>
      </c>
      <c r="C842" s="496" t="s">
        <v>448</v>
      </c>
      <c r="D842" s="496" t="s">
        <v>811</v>
      </c>
      <c r="E842" s="496" t="s">
        <v>1609</v>
      </c>
      <c r="F842" s="505">
        <f>'CCS Budget - Detailed'!H72</f>
        <v>634</v>
      </c>
      <c r="G842" s="497" t="s">
        <v>448</v>
      </c>
    </row>
    <row r="843" spans="1:7" x14ac:dyDescent="0.2">
      <c r="A843" s="496" t="s">
        <v>2005</v>
      </c>
      <c r="B843" s="496" t="s">
        <v>580</v>
      </c>
      <c r="C843" s="496" t="s">
        <v>448</v>
      </c>
      <c r="D843" s="496" t="s">
        <v>812</v>
      </c>
      <c r="E843" s="496" t="s">
        <v>1609</v>
      </c>
      <c r="F843" s="505">
        <f>'CCS Budget - Detailed'!H73</f>
        <v>8919</v>
      </c>
      <c r="G843" s="497" t="s">
        <v>448</v>
      </c>
    </row>
    <row r="844" spans="1:7" x14ac:dyDescent="0.2">
      <c r="A844" s="494" t="s">
        <v>2005</v>
      </c>
      <c r="B844" s="496" t="s">
        <v>580</v>
      </c>
      <c r="C844" s="496" t="s">
        <v>448</v>
      </c>
      <c r="D844" s="496" t="s">
        <v>813</v>
      </c>
      <c r="E844" s="496" t="s">
        <v>1609</v>
      </c>
      <c r="F844" s="505">
        <f>'CCS Budget - Detailed'!H74</f>
        <v>6170</v>
      </c>
      <c r="G844" s="497" t="s">
        <v>448</v>
      </c>
    </row>
    <row r="845" spans="1:7" x14ac:dyDescent="0.2">
      <c r="A845" s="496" t="s">
        <v>2005</v>
      </c>
      <c r="B845" s="496" t="s">
        <v>580</v>
      </c>
      <c r="C845" s="496" t="s">
        <v>448</v>
      </c>
      <c r="D845" s="496" t="s">
        <v>814</v>
      </c>
      <c r="E845" s="496" t="s">
        <v>1609</v>
      </c>
      <c r="F845" s="505">
        <f>'CCS Budget - Detailed'!H75</f>
        <v>2700</v>
      </c>
      <c r="G845" s="497" t="s">
        <v>448</v>
      </c>
    </row>
    <row r="846" spans="1:7" x14ac:dyDescent="0.2">
      <c r="A846" s="494" t="s">
        <v>2005</v>
      </c>
      <c r="B846" s="496" t="s">
        <v>580</v>
      </c>
      <c r="C846" s="496" t="s">
        <v>448</v>
      </c>
      <c r="D846" s="496" t="s">
        <v>815</v>
      </c>
      <c r="E846" s="496" t="s">
        <v>1609</v>
      </c>
      <c r="F846" s="505">
        <f>'CCS Budget - Detailed'!H76</f>
        <v>750</v>
      </c>
      <c r="G846" s="497" t="s">
        <v>448</v>
      </c>
    </row>
    <row r="847" spans="1:7" x14ac:dyDescent="0.2">
      <c r="A847" s="496" t="s">
        <v>2005</v>
      </c>
      <c r="B847" s="496" t="s">
        <v>580</v>
      </c>
      <c r="C847" s="496" t="s">
        <v>448</v>
      </c>
      <c r="D847" s="496" t="s">
        <v>816</v>
      </c>
      <c r="E847" s="496" t="s">
        <v>1609</v>
      </c>
      <c r="F847" s="505">
        <f>'CCS Budget - Detailed'!H77</f>
        <v>250</v>
      </c>
      <c r="G847" s="497" t="s">
        <v>448</v>
      </c>
    </row>
    <row r="848" spans="1:7" x14ac:dyDescent="0.2">
      <c r="A848" s="496" t="s">
        <v>2005</v>
      </c>
      <c r="B848" s="496" t="s">
        <v>580</v>
      </c>
      <c r="C848" s="496" t="s">
        <v>448</v>
      </c>
      <c r="D848" s="496" t="s">
        <v>2269</v>
      </c>
      <c r="E848" s="496" t="s">
        <v>1609</v>
      </c>
      <c r="F848" s="505">
        <f>'CCS Budget - Detailed'!H84</f>
        <v>4474</v>
      </c>
      <c r="G848" s="497" t="s">
        <v>448</v>
      </c>
    </row>
    <row r="849" spans="1:7" x14ac:dyDescent="0.2">
      <c r="A849" s="494" t="s">
        <v>2005</v>
      </c>
      <c r="B849" s="496" t="s">
        <v>580</v>
      </c>
      <c r="C849" s="496" t="s">
        <v>448</v>
      </c>
      <c r="D849" s="496" t="s">
        <v>818</v>
      </c>
      <c r="E849" s="496" t="s">
        <v>1609</v>
      </c>
      <c r="F849" s="505">
        <f>'CCS Budget - Detailed'!H87</f>
        <v>49109</v>
      </c>
      <c r="G849" s="497" t="s">
        <v>448</v>
      </c>
    </row>
    <row r="850" spans="1:7" x14ac:dyDescent="0.2">
      <c r="A850" s="496" t="s">
        <v>2005</v>
      </c>
      <c r="B850" s="496" t="s">
        <v>580</v>
      </c>
      <c r="C850" s="496" t="s">
        <v>448</v>
      </c>
      <c r="D850" s="496" t="s">
        <v>2232</v>
      </c>
      <c r="E850" s="496" t="s">
        <v>1609</v>
      </c>
      <c r="F850" s="505">
        <f>'CCS Budget - Detailed'!H88</f>
        <v>147</v>
      </c>
      <c r="G850" s="497" t="s">
        <v>448</v>
      </c>
    </row>
    <row r="851" spans="1:7" x14ac:dyDescent="0.2">
      <c r="A851" s="494" t="s">
        <v>2005</v>
      </c>
      <c r="B851" s="496" t="s">
        <v>580</v>
      </c>
      <c r="C851" s="496" t="s">
        <v>448</v>
      </c>
      <c r="D851" s="496" t="s">
        <v>820</v>
      </c>
      <c r="E851" s="496" t="s">
        <v>1609</v>
      </c>
      <c r="F851" s="505">
        <f>'CCS Budget - Detailed'!H89</f>
        <v>712</v>
      </c>
      <c r="G851" s="497" t="s">
        <v>448</v>
      </c>
    </row>
    <row r="852" spans="1:7" x14ac:dyDescent="0.2">
      <c r="A852" s="496" t="s">
        <v>2005</v>
      </c>
      <c r="B852" s="496" t="s">
        <v>580</v>
      </c>
      <c r="C852" s="496" t="s">
        <v>448</v>
      </c>
      <c r="D852" s="496" t="s">
        <v>821</v>
      </c>
      <c r="E852" s="496" t="s">
        <v>1609</v>
      </c>
      <c r="F852" s="505">
        <f>'CCS Budget - Detailed'!H90</f>
        <v>10018</v>
      </c>
      <c r="G852" s="497" t="s">
        <v>448</v>
      </c>
    </row>
    <row r="853" spans="1:7" x14ac:dyDescent="0.2">
      <c r="A853" s="494" t="s">
        <v>2005</v>
      </c>
      <c r="B853" s="496" t="s">
        <v>580</v>
      </c>
      <c r="C853" s="496" t="s">
        <v>448</v>
      </c>
      <c r="D853" s="496" t="s">
        <v>2233</v>
      </c>
      <c r="E853" s="496" t="s">
        <v>1609</v>
      </c>
      <c r="F853" s="505">
        <f>'CCS Budget - Detailed'!H91</f>
        <v>6170</v>
      </c>
      <c r="G853" s="497" t="s">
        <v>448</v>
      </c>
    </row>
    <row r="854" spans="1:7" x14ac:dyDescent="0.2">
      <c r="A854" s="496" t="s">
        <v>2005</v>
      </c>
      <c r="B854" s="496" t="s">
        <v>580</v>
      </c>
      <c r="C854" s="496" t="s">
        <v>448</v>
      </c>
      <c r="D854" s="496" t="s">
        <v>827</v>
      </c>
      <c r="E854" s="496" t="s">
        <v>1609</v>
      </c>
      <c r="F854" s="505">
        <f>'CCS Budget - Detailed'!H97</f>
        <v>37101</v>
      </c>
      <c r="G854" s="497" t="s">
        <v>448</v>
      </c>
    </row>
    <row r="855" spans="1:7" x14ac:dyDescent="0.2">
      <c r="A855" s="494" t="s">
        <v>2005</v>
      </c>
      <c r="B855" s="496" t="s">
        <v>580</v>
      </c>
      <c r="C855" s="496" t="s">
        <v>448</v>
      </c>
      <c r="D855" s="496" t="s">
        <v>2234</v>
      </c>
      <c r="E855" s="496" t="s">
        <v>1609</v>
      </c>
      <c r="F855" s="505">
        <f>'CCS Budget - Detailed'!H98</f>
        <v>111</v>
      </c>
      <c r="G855" s="497" t="s">
        <v>448</v>
      </c>
    </row>
    <row r="856" spans="1:7" x14ac:dyDescent="0.2">
      <c r="A856" s="496" t="s">
        <v>2005</v>
      </c>
      <c r="B856" s="496" t="s">
        <v>580</v>
      </c>
      <c r="C856" s="496" t="s">
        <v>448</v>
      </c>
      <c r="D856" s="496" t="s">
        <v>829</v>
      </c>
      <c r="E856" s="496" t="s">
        <v>1609</v>
      </c>
      <c r="F856" s="505">
        <f>'CCS Budget - Detailed'!H99</f>
        <v>538</v>
      </c>
      <c r="G856" s="497" t="s">
        <v>448</v>
      </c>
    </row>
    <row r="857" spans="1:7" x14ac:dyDescent="0.2">
      <c r="A857" s="494" t="s">
        <v>2005</v>
      </c>
      <c r="B857" s="496" t="s">
        <v>580</v>
      </c>
      <c r="C857" s="496" t="s">
        <v>448</v>
      </c>
      <c r="D857" s="496" t="s">
        <v>830</v>
      </c>
      <c r="E857" s="496" t="s">
        <v>1609</v>
      </c>
      <c r="F857" s="505">
        <f>'CCS Budget - Detailed'!H100</f>
        <v>7569</v>
      </c>
      <c r="G857" s="497" t="s">
        <v>448</v>
      </c>
    </row>
    <row r="858" spans="1:7" x14ac:dyDescent="0.2">
      <c r="A858" s="496" t="s">
        <v>2005</v>
      </c>
      <c r="B858" s="496" t="s">
        <v>580</v>
      </c>
      <c r="C858" s="496" t="s">
        <v>448</v>
      </c>
      <c r="D858" s="496" t="s">
        <v>2235</v>
      </c>
      <c r="E858" s="496" t="s">
        <v>1609</v>
      </c>
      <c r="F858" s="505">
        <f>'CCS Budget - Detailed'!H101</f>
        <v>6170</v>
      </c>
      <c r="G858" s="497" t="s">
        <v>448</v>
      </c>
    </row>
    <row r="859" spans="1:7" x14ac:dyDescent="0.2">
      <c r="A859" s="494" t="s">
        <v>2005</v>
      </c>
      <c r="B859" s="496" t="s">
        <v>580</v>
      </c>
      <c r="C859" s="496" t="s">
        <v>448</v>
      </c>
      <c r="D859" s="496" t="s">
        <v>1399</v>
      </c>
      <c r="E859" s="496" t="s">
        <v>1609</v>
      </c>
      <c r="F859" s="505">
        <f>'CCS Budget - Detailed'!H102</f>
        <v>6000</v>
      </c>
      <c r="G859" s="497" t="s">
        <v>448</v>
      </c>
    </row>
    <row r="860" spans="1:7" x14ac:dyDescent="0.2">
      <c r="A860" s="494" t="s">
        <v>2005</v>
      </c>
      <c r="B860" s="496" t="s">
        <v>580</v>
      </c>
      <c r="C860" s="496" t="s">
        <v>448</v>
      </c>
      <c r="D860" s="496" t="s">
        <v>832</v>
      </c>
      <c r="E860" s="496" t="s">
        <v>1609</v>
      </c>
      <c r="F860" s="505">
        <f>'CCS Budget - Detailed'!H103</f>
        <v>27000</v>
      </c>
      <c r="G860" s="497" t="s">
        <v>448</v>
      </c>
    </row>
    <row r="861" spans="1:7" x14ac:dyDescent="0.2">
      <c r="A861" s="496" t="s">
        <v>2005</v>
      </c>
      <c r="B861" s="496" t="s">
        <v>580</v>
      </c>
      <c r="C861" s="496" t="s">
        <v>448</v>
      </c>
      <c r="D861" s="496" t="s">
        <v>833</v>
      </c>
      <c r="E861" s="496" t="s">
        <v>1609</v>
      </c>
      <c r="F861" s="505">
        <f>'CCS Budget - Detailed'!H104</f>
        <v>750</v>
      </c>
      <c r="G861" s="497" t="s">
        <v>448</v>
      </c>
    </row>
    <row r="862" spans="1:7" x14ac:dyDescent="0.2">
      <c r="A862" s="494" t="s">
        <v>2005</v>
      </c>
      <c r="B862" s="496" t="s">
        <v>580</v>
      </c>
      <c r="C862" s="496" t="s">
        <v>448</v>
      </c>
      <c r="D862" s="496" t="s">
        <v>835</v>
      </c>
      <c r="E862" s="496" t="s">
        <v>1609</v>
      </c>
      <c r="F862" s="505">
        <f>'CCS Budget - Detailed'!H105</f>
        <v>500</v>
      </c>
      <c r="G862" s="497" t="s">
        <v>448</v>
      </c>
    </row>
    <row r="863" spans="1:7" x14ac:dyDescent="0.2">
      <c r="A863" s="496" t="s">
        <v>2005</v>
      </c>
      <c r="B863" s="496" t="s">
        <v>580</v>
      </c>
      <c r="C863" s="496" t="s">
        <v>448</v>
      </c>
      <c r="D863" s="496" t="s">
        <v>837</v>
      </c>
      <c r="E863" s="496" t="s">
        <v>1609</v>
      </c>
      <c r="F863" s="505">
        <f>'CCS Budget - Detailed'!H108</f>
        <v>22500</v>
      </c>
      <c r="G863" s="497" t="s">
        <v>448</v>
      </c>
    </row>
    <row r="864" spans="1:7" x14ac:dyDescent="0.2">
      <c r="A864" s="496" t="s">
        <v>2005</v>
      </c>
      <c r="B864" s="496" t="s">
        <v>580</v>
      </c>
      <c r="C864" s="496" t="s">
        <v>448</v>
      </c>
      <c r="D864" s="496" t="s">
        <v>923</v>
      </c>
      <c r="E864" s="496" t="s">
        <v>1609</v>
      </c>
      <c r="F864" s="505">
        <f>'CCS Budget - Detailed'!H232</f>
        <v>10389</v>
      </c>
      <c r="G864" s="497" t="s">
        <v>448</v>
      </c>
    </row>
    <row r="865" spans="1:7" x14ac:dyDescent="0.2">
      <c r="A865" s="494" t="s">
        <v>2005</v>
      </c>
      <c r="B865" s="496" t="s">
        <v>580</v>
      </c>
      <c r="C865" s="496" t="s">
        <v>448</v>
      </c>
      <c r="D865" s="496" t="s">
        <v>2236</v>
      </c>
      <c r="E865" s="496" t="s">
        <v>1609</v>
      </c>
      <c r="F865" s="505">
        <f>'CCS Budget - Detailed'!H109</f>
        <v>68</v>
      </c>
      <c r="G865" s="497" t="s">
        <v>448</v>
      </c>
    </row>
    <row r="866" spans="1:7" x14ac:dyDescent="0.2">
      <c r="A866" s="496" t="s">
        <v>2005</v>
      </c>
      <c r="B866" s="496" t="s">
        <v>580</v>
      </c>
      <c r="C866" s="496" t="s">
        <v>448</v>
      </c>
      <c r="D866" s="496" t="s">
        <v>839</v>
      </c>
      <c r="E866" s="496" t="s">
        <v>1609</v>
      </c>
      <c r="F866" s="505">
        <f>'CCS Budget - Detailed'!H110</f>
        <v>326</v>
      </c>
      <c r="G866" s="497" t="s">
        <v>448</v>
      </c>
    </row>
    <row r="867" spans="1:7" x14ac:dyDescent="0.2">
      <c r="A867" s="494" t="s">
        <v>2005</v>
      </c>
      <c r="B867" s="496" t="s">
        <v>580</v>
      </c>
      <c r="C867" s="496" t="s">
        <v>448</v>
      </c>
      <c r="D867" s="496" t="s">
        <v>841</v>
      </c>
      <c r="E867" s="496" t="s">
        <v>1609</v>
      </c>
      <c r="F867" s="505">
        <f>'CCS Budget - Detailed'!H111</f>
        <v>4590</v>
      </c>
      <c r="G867" s="497" t="s">
        <v>448</v>
      </c>
    </row>
    <row r="868" spans="1:7" x14ac:dyDescent="0.2">
      <c r="A868" s="494" t="s">
        <v>2005</v>
      </c>
      <c r="B868" s="496" t="s">
        <v>580</v>
      </c>
      <c r="C868" s="496" t="s">
        <v>448</v>
      </c>
      <c r="D868" s="496" t="s">
        <v>2237</v>
      </c>
      <c r="E868" s="496" t="s">
        <v>1609</v>
      </c>
      <c r="F868" s="505">
        <f>'CCS Budget - Detailed'!H112</f>
        <v>0</v>
      </c>
      <c r="G868" s="497" t="s">
        <v>448</v>
      </c>
    </row>
    <row r="869" spans="1:7" x14ac:dyDescent="0.2">
      <c r="A869" s="496" t="s">
        <v>2005</v>
      </c>
      <c r="B869" s="496" t="s">
        <v>580</v>
      </c>
      <c r="C869" s="496" t="s">
        <v>448</v>
      </c>
      <c r="D869" s="496" t="s">
        <v>845</v>
      </c>
      <c r="E869" s="568" t="s">
        <v>1609</v>
      </c>
      <c r="F869" s="505">
        <f>'CCS Budget - Detailed'!H113</f>
        <v>7200</v>
      </c>
      <c r="G869" s="497" t="s">
        <v>448</v>
      </c>
    </row>
    <row r="870" spans="1:7" x14ac:dyDescent="0.2">
      <c r="A870" s="494" t="s">
        <v>2005</v>
      </c>
      <c r="B870" s="496" t="s">
        <v>580</v>
      </c>
      <c r="C870" s="496" t="s">
        <v>448</v>
      </c>
      <c r="D870" s="568" t="s">
        <v>2238</v>
      </c>
      <c r="E870" s="496" t="s">
        <v>1609</v>
      </c>
      <c r="F870" s="505">
        <f>'CCS Budget - Detailed'!H114</f>
        <v>22</v>
      </c>
      <c r="G870" s="497" t="s">
        <v>448</v>
      </c>
    </row>
    <row r="871" spans="1:7" x14ac:dyDescent="0.2">
      <c r="A871" s="496" t="s">
        <v>2005</v>
      </c>
      <c r="B871" s="496" t="s">
        <v>580</v>
      </c>
      <c r="C871" s="496" t="s">
        <v>448</v>
      </c>
      <c r="D871" s="568" t="s">
        <v>1401</v>
      </c>
      <c r="E871" s="496" t="s">
        <v>1609</v>
      </c>
      <c r="F871" s="505">
        <f>'CCS Budget - Detailed'!H115</f>
        <v>104</v>
      </c>
      <c r="G871" s="497" t="s">
        <v>448</v>
      </c>
    </row>
    <row r="872" spans="1:7" x14ac:dyDescent="0.2">
      <c r="A872" s="494" t="s">
        <v>2005</v>
      </c>
      <c r="B872" s="496" t="s">
        <v>580</v>
      </c>
      <c r="C872" s="496" t="s">
        <v>448</v>
      </c>
      <c r="D872" s="568" t="s">
        <v>1402</v>
      </c>
      <c r="E872" s="496" t="s">
        <v>1609</v>
      </c>
      <c r="F872" s="505">
        <f>'CCS Budget - Detailed'!H116</f>
        <v>1469</v>
      </c>
      <c r="G872" s="497" t="s">
        <v>448</v>
      </c>
    </row>
    <row r="873" spans="1:7" x14ac:dyDescent="0.2">
      <c r="A873" s="496" t="s">
        <v>2005</v>
      </c>
      <c r="B873" s="496" t="s">
        <v>580</v>
      </c>
      <c r="C873" s="496" t="s">
        <v>448</v>
      </c>
      <c r="D873" s="496" t="s">
        <v>1510</v>
      </c>
      <c r="E873" s="496" t="s">
        <v>1609</v>
      </c>
      <c r="F873" s="505">
        <f>'CCS Budget - Detailed'!H117+'CCS Budget - Detailed'!H118</f>
        <v>24749</v>
      </c>
      <c r="G873" s="497" t="s">
        <v>448</v>
      </c>
    </row>
    <row r="874" spans="1:7" x14ac:dyDescent="0.2">
      <c r="A874" s="496" t="s">
        <v>2005</v>
      </c>
      <c r="B874" s="496" t="s">
        <v>580</v>
      </c>
      <c r="C874" s="496" t="s">
        <v>448</v>
      </c>
      <c r="D874" s="496" t="s">
        <v>850</v>
      </c>
      <c r="E874" s="496" t="s">
        <v>1609</v>
      </c>
      <c r="F874" s="505">
        <f>'CCS Budget - Detailed'!H119</f>
        <v>7000</v>
      </c>
      <c r="G874" s="497" t="s">
        <v>448</v>
      </c>
    </row>
    <row r="875" spans="1:7" x14ac:dyDescent="0.2">
      <c r="A875" s="494" t="s">
        <v>2005</v>
      </c>
      <c r="B875" s="496" t="s">
        <v>580</v>
      </c>
      <c r="C875" s="496" t="s">
        <v>448</v>
      </c>
      <c r="D875" s="496" t="s">
        <v>851</v>
      </c>
      <c r="E875" s="496" t="s">
        <v>1609</v>
      </c>
      <c r="F875" s="505">
        <f>'CCS Budget - Detailed'!H120</f>
        <v>11000</v>
      </c>
      <c r="G875" s="497" t="s">
        <v>448</v>
      </c>
    </row>
    <row r="876" spans="1:7" x14ac:dyDescent="0.2">
      <c r="A876" s="494" t="s">
        <v>2005</v>
      </c>
      <c r="B876" s="496" t="s">
        <v>580</v>
      </c>
      <c r="C876" s="496" t="s">
        <v>448</v>
      </c>
      <c r="D876" s="496" t="s">
        <v>2518</v>
      </c>
      <c r="E876" s="496" t="s">
        <v>1609</v>
      </c>
      <c r="F876" s="505">
        <f>'CCS Budget - Detailed'!H229</f>
        <v>1087</v>
      </c>
      <c r="G876" s="497" t="s">
        <v>448</v>
      </c>
    </row>
    <row r="877" spans="1:7" x14ac:dyDescent="0.2">
      <c r="A877" s="496" t="s">
        <v>2005</v>
      </c>
      <c r="B877" s="496" t="s">
        <v>580</v>
      </c>
      <c r="C877" s="496" t="s">
        <v>448</v>
      </c>
      <c r="D877" s="496" t="s">
        <v>857</v>
      </c>
      <c r="E877" s="496" t="s">
        <v>1609</v>
      </c>
      <c r="F877" s="505">
        <f>'CCS Budget - Detailed'!H123</f>
        <v>3000</v>
      </c>
      <c r="G877" s="497" t="s">
        <v>448</v>
      </c>
    </row>
    <row r="878" spans="1:7" x14ac:dyDescent="0.2">
      <c r="A878" s="494" t="s">
        <v>2005</v>
      </c>
      <c r="B878" s="496" t="s">
        <v>580</v>
      </c>
      <c r="C878" s="496" t="s">
        <v>448</v>
      </c>
      <c r="D878" s="496" t="s">
        <v>859</v>
      </c>
      <c r="E878" s="496" t="s">
        <v>1609</v>
      </c>
      <c r="F878" s="505">
        <f>'CCS Budget - Detailed'!H124</f>
        <v>3000</v>
      </c>
      <c r="G878" s="497" t="s">
        <v>448</v>
      </c>
    </row>
    <row r="879" spans="1:7" x14ac:dyDescent="0.2">
      <c r="A879" s="496" t="s">
        <v>2005</v>
      </c>
      <c r="B879" s="496" t="s">
        <v>580</v>
      </c>
      <c r="C879" s="496" t="s">
        <v>448</v>
      </c>
      <c r="D879" s="496" t="s">
        <v>861</v>
      </c>
      <c r="E879" s="496" t="s">
        <v>1609</v>
      </c>
      <c r="F879" s="505">
        <f>'CCS Budget - Detailed'!H125</f>
        <v>9157</v>
      </c>
      <c r="G879" s="497" t="s">
        <v>448</v>
      </c>
    </row>
    <row r="880" spans="1:7" x14ac:dyDescent="0.2">
      <c r="A880" s="496" t="s">
        <v>2005</v>
      </c>
      <c r="B880" s="496" t="s">
        <v>580</v>
      </c>
      <c r="C880" s="496" t="s">
        <v>448</v>
      </c>
      <c r="D880" s="496" t="s">
        <v>2516</v>
      </c>
      <c r="E880" s="496" t="s">
        <v>1609</v>
      </c>
      <c r="F880" s="505">
        <f>'CCS Budget - Detailed'!H226</f>
        <v>926</v>
      </c>
      <c r="G880" s="497" t="s">
        <v>448</v>
      </c>
    </row>
    <row r="881" spans="1:7" x14ac:dyDescent="0.2">
      <c r="A881" s="494" t="s">
        <v>2005</v>
      </c>
      <c r="B881" s="496" t="s">
        <v>580</v>
      </c>
      <c r="C881" s="496" t="s">
        <v>448</v>
      </c>
      <c r="D881" s="496" t="s">
        <v>863</v>
      </c>
      <c r="E881" s="496" t="s">
        <v>1609</v>
      </c>
      <c r="F881" s="505">
        <f>'CCS Budget - Detailed'!H126</f>
        <v>7400</v>
      </c>
      <c r="G881" s="497" t="s">
        <v>448</v>
      </c>
    </row>
    <row r="882" spans="1:7" x14ac:dyDescent="0.2">
      <c r="A882" s="496" t="s">
        <v>2005</v>
      </c>
      <c r="B882" s="496" t="s">
        <v>580</v>
      </c>
      <c r="C882" s="496" t="s">
        <v>448</v>
      </c>
      <c r="D882" s="496" t="s">
        <v>865</v>
      </c>
      <c r="E882" s="496" t="s">
        <v>1609</v>
      </c>
      <c r="F882" s="505">
        <f>'CCS Budget - Detailed'!H127</f>
        <v>5000</v>
      </c>
      <c r="G882" s="497" t="s">
        <v>448</v>
      </c>
    </row>
    <row r="883" spans="1:7" x14ac:dyDescent="0.2">
      <c r="A883" s="494" t="s">
        <v>2005</v>
      </c>
      <c r="B883" s="496" t="s">
        <v>580</v>
      </c>
      <c r="C883" s="496" t="s">
        <v>448</v>
      </c>
      <c r="D883" s="496" t="s">
        <v>867</v>
      </c>
      <c r="E883" s="496" t="s">
        <v>1609</v>
      </c>
      <c r="F883" s="505">
        <f>'CCS Budget - Detailed'!H128</f>
        <v>1000</v>
      </c>
      <c r="G883" s="497" t="s">
        <v>448</v>
      </c>
    </row>
    <row r="884" spans="1:7" x14ac:dyDescent="0.2">
      <c r="A884" s="496" t="s">
        <v>2005</v>
      </c>
      <c r="B884" s="496" t="s">
        <v>580</v>
      </c>
      <c r="C884" s="496" t="s">
        <v>448</v>
      </c>
      <c r="D884" s="496" t="s">
        <v>869</v>
      </c>
      <c r="E884" s="496" t="s">
        <v>1609</v>
      </c>
      <c r="F884" s="505">
        <f>'CCS Budget - Detailed'!H129</f>
        <v>2500</v>
      </c>
      <c r="G884" s="497" t="s">
        <v>448</v>
      </c>
    </row>
    <row r="885" spans="1:7" x14ac:dyDescent="0.2">
      <c r="A885" s="494" t="s">
        <v>2005</v>
      </c>
      <c r="B885" s="496" t="s">
        <v>580</v>
      </c>
      <c r="C885" s="496" t="s">
        <v>448</v>
      </c>
      <c r="D885" s="496" t="s">
        <v>871</v>
      </c>
      <c r="E885" s="496" t="s">
        <v>1609</v>
      </c>
      <c r="F885" s="505">
        <f>'CCS Budget - Detailed'!H130</f>
        <v>500</v>
      </c>
      <c r="G885" s="497" t="s">
        <v>448</v>
      </c>
    </row>
    <row r="886" spans="1:7" x14ac:dyDescent="0.2">
      <c r="A886" s="496" t="s">
        <v>2005</v>
      </c>
      <c r="B886" s="496" t="s">
        <v>580</v>
      </c>
      <c r="C886" s="496" t="s">
        <v>448</v>
      </c>
      <c r="D886" s="496" t="s">
        <v>873</v>
      </c>
      <c r="E886" s="496" t="s">
        <v>1609</v>
      </c>
      <c r="F886" s="505">
        <f>'CCS Budget - Detailed'!H131</f>
        <v>10000</v>
      </c>
      <c r="G886" s="497" t="s">
        <v>448</v>
      </c>
    </row>
    <row r="887" spans="1:7" x14ac:dyDescent="0.2">
      <c r="A887" s="496" t="s">
        <v>2005</v>
      </c>
      <c r="B887" s="496" t="s">
        <v>580</v>
      </c>
      <c r="C887" s="496" t="s">
        <v>448</v>
      </c>
      <c r="D887" s="496" t="s">
        <v>2239</v>
      </c>
      <c r="E887" s="496" t="s">
        <v>1609</v>
      </c>
      <c r="F887" s="505">
        <f>'CCS Budget - Detailed'!H132</f>
        <v>720</v>
      </c>
      <c r="G887" s="497" t="s">
        <v>448</v>
      </c>
    </row>
    <row r="888" spans="1:7" x14ac:dyDescent="0.2">
      <c r="A888" s="494" t="s">
        <v>2005</v>
      </c>
      <c r="B888" s="496" t="s">
        <v>580</v>
      </c>
      <c r="C888" s="496" t="s">
        <v>448</v>
      </c>
      <c r="D888" s="496" t="s">
        <v>876</v>
      </c>
      <c r="E888" s="496" t="s">
        <v>1609</v>
      </c>
      <c r="F888" s="505">
        <f>'CCS Budget - Detailed'!H135</f>
        <v>39629</v>
      </c>
      <c r="G888" s="497" t="s">
        <v>448</v>
      </c>
    </row>
    <row r="889" spans="1:7" x14ac:dyDescent="0.2">
      <c r="A889" s="496" t="s">
        <v>2005</v>
      </c>
      <c r="B889" s="496" t="s">
        <v>580</v>
      </c>
      <c r="C889" s="496" t="s">
        <v>448</v>
      </c>
      <c r="D889" s="496" t="s">
        <v>2240</v>
      </c>
      <c r="E889" s="496" t="s">
        <v>1609</v>
      </c>
      <c r="F889" s="505">
        <f>'CCS Budget - Detailed'!H136</f>
        <v>119</v>
      </c>
      <c r="G889" s="497" t="s">
        <v>448</v>
      </c>
    </row>
    <row r="890" spans="1:7" x14ac:dyDescent="0.2">
      <c r="A890" s="494" t="s">
        <v>2005</v>
      </c>
      <c r="B890" s="496" t="s">
        <v>580</v>
      </c>
      <c r="C890" s="496" t="s">
        <v>448</v>
      </c>
      <c r="D890" s="496" t="s">
        <v>878</v>
      </c>
      <c r="E890" s="496" t="s">
        <v>1609</v>
      </c>
      <c r="F890" s="505">
        <f>'CCS Budget - Detailed'!H137</f>
        <v>575</v>
      </c>
      <c r="G890" s="497" t="s">
        <v>448</v>
      </c>
    </row>
    <row r="891" spans="1:7" x14ac:dyDescent="0.2">
      <c r="A891" s="496" t="s">
        <v>2005</v>
      </c>
      <c r="B891" s="496" t="s">
        <v>580</v>
      </c>
      <c r="C891" s="496" t="s">
        <v>448</v>
      </c>
      <c r="D891" s="496" t="s">
        <v>880</v>
      </c>
      <c r="E891" s="496" t="s">
        <v>1609</v>
      </c>
      <c r="F891" s="505">
        <f>'CCS Budget - Detailed'!H138</f>
        <v>0</v>
      </c>
      <c r="G891" s="497" t="s">
        <v>448</v>
      </c>
    </row>
    <row r="892" spans="1:7" x14ac:dyDescent="0.2">
      <c r="A892" s="494" t="s">
        <v>2005</v>
      </c>
      <c r="B892" s="496" t="s">
        <v>580</v>
      </c>
      <c r="C892" s="496" t="s">
        <v>448</v>
      </c>
      <c r="D892" s="496" t="s">
        <v>2241</v>
      </c>
      <c r="E892" s="496" t="s">
        <v>1609</v>
      </c>
      <c r="F892" s="505">
        <f>'CCS Budget - Detailed'!H139</f>
        <v>6520</v>
      </c>
      <c r="G892" s="497" t="s">
        <v>448</v>
      </c>
    </row>
    <row r="893" spans="1:7" x14ac:dyDescent="0.2">
      <c r="A893" s="494" t="s">
        <v>2005</v>
      </c>
      <c r="B893" s="496" t="s">
        <v>580</v>
      </c>
      <c r="C893" s="496" t="s">
        <v>448</v>
      </c>
      <c r="D893" s="496" t="s">
        <v>884</v>
      </c>
      <c r="E893" s="496" t="s">
        <v>1609</v>
      </c>
      <c r="F893" s="505">
        <f>'CCS Budget - Detailed'!H140</f>
        <v>0</v>
      </c>
      <c r="G893" s="497" t="s">
        <v>448</v>
      </c>
    </row>
    <row r="894" spans="1:7" x14ac:dyDescent="0.2">
      <c r="A894" s="496" t="s">
        <v>2005</v>
      </c>
      <c r="B894" s="496" t="s">
        <v>580</v>
      </c>
      <c r="C894" s="496" t="s">
        <v>448</v>
      </c>
      <c r="D894" s="496" t="s">
        <v>887</v>
      </c>
      <c r="E894" s="496" t="s">
        <v>1609</v>
      </c>
      <c r="F894" s="505">
        <f>'CCS Budget - Detailed'!H143</f>
        <v>20000</v>
      </c>
      <c r="G894" s="497" t="s">
        <v>448</v>
      </c>
    </row>
    <row r="895" spans="1:7" x14ac:dyDescent="0.2">
      <c r="A895" s="494" t="s">
        <v>2005</v>
      </c>
      <c r="B895" s="496" t="s">
        <v>580</v>
      </c>
      <c r="C895" s="496" t="s">
        <v>448</v>
      </c>
      <c r="D895" s="496" t="s">
        <v>2242</v>
      </c>
      <c r="E895" s="496" t="s">
        <v>1609</v>
      </c>
      <c r="F895" s="505">
        <f>'CCS Budget - Detailed'!H144</f>
        <v>60</v>
      </c>
      <c r="G895" s="497" t="s">
        <v>448</v>
      </c>
    </row>
    <row r="896" spans="1:7" x14ac:dyDescent="0.2">
      <c r="A896" s="496" t="s">
        <v>2005</v>
      </c>
      <c r="B896" s="496" t="s">
        <v>580</v>
      </c>
      <c r="C896" s="496" t="s">
        <v>448</v>
      </c>
      <c r="D896" s="496" t="s">
        <v>889</v>
      </c>
      <c r="E896" s="496" t="s">
        <v>1609</v>
      </c>
      <c r="F896" s="505">
        <f>'CCS Budget - Detailed'!H145</f>
        <v>290</v>
      </c>
      <c r="G896" s="497" t="s">
        <v>448</v>
      </c>
    </row>
    <row r="897" spans="1:7" x14ac:dyDescent="0.2">
      <c r="A897" s="494" t="s">
        <v>2005</v>
      </c>
      <c r="B897" s="496" t="s">
        <v>580</v>
      </c>
      <c r="C897" s="496" t="s">
        <v>448</v>
      </c>
      <c r="D897" s="496" t="s">
        <v>891</v>
      </c>
      <c r="E897" s="496" t="s">
        <v>1609</v>
      </c>
      <c r="F897" s="505">
        <f>'CCS Budget - Detailed'!H146</f>
        <v>4080</v>
      </c>
      <c r="G897" s="497" t="s">
        <v>448</v>
      </c>
    </row>
    <row r="898" spans="1:7" x14ac:dyDescent="0.2">
      <c r="A898" s="496" t="s">
        <v>2005</v>
      </c>
      <c r="B898" s="496" t="s">
        <v>580</v>
      </c>
      <c r="C898" s="496" t="s">
        <v>448</v>
      </c>
      <c r="D898" s="496" t="s">
        <v>894</v>
      </c>
      <c r="E898" s="496" t="s">
        <v>1609</v>
      </c>
      <c r="F898" s="505">
        <f>'CCS Budget - Detailed'!H147</f>
        <v>2500</v>
      </c>
      <c r="G898" s="497" t="s">
        <v>448</v>
      </c>
    </row>
    <row r="899" spans="1:7" x14ac:dyDescent="0.2">
      <c r="A899" s="494" t="s">
        <v>2005</v>
      </c>
      <c r="B899" s="496" t="s">
        <v>580</v>
      </c>
      <c r="C899" s="496" t="s">
        <v>448</v>
      </c>
      <c r="D899" s="496" t="s">
        <v>899</v>
      </c>
      <c r="E899" s="496" t="s">
        <v>1609</v>
      </c>
      <c r="F899" s="505">
        <f>'CCS Budget - Detailed'!H151</f>
        <v>14470</v>
      </c>
      <c r="G899" s="497" t="s">
        <v>448</v>
      </c>
    </row>
    <row r="900" spans="1:7" x14ac:dyDescent="0.2">
      <c r="A900" s="496" t="s">
        <v>2005</v>
      </c>
      <c r="B900" s="496" t="s">
        <v>580</v>
      </c>
      <c r="C900" s="496" t="s">
        <v>448</v>
      </c>
      <c r="D900" s="496" t="s">
        <v>2243</v>
      </c>
      <c r="E900" s="496" t="s">
        <v>1609</v>
      </c>
      <c r="F900" s="505">
        <f>'CCS Budget - Detailed'!H152</f>
        <v>43</v>
      </c>
      <c r="G900" s="497" t="s">
        <v>448</v>
      </c>
    </row>
    <row r="901" spans="1:7" x14ac:dyDescent="0.2">
      <c r="A901" s="494" t="s">
        <v>2005</v>
      </c>
      <c r="B901" s="496" t="s">
        <v>580</v>
      </c>
      <c r="C901" s="496" t="s">
        <v>448</v>
      </c>
      <c r="D901" s="496" t="s">
        <v>901</v>
      </c>
      <c r="E901" s="496" t="s">
        <v>1609</v>
      </c>
      <c r="F901" s="505">
        <f>'CCS Budget - Detailed'!H153</f>
        <v>210</v>
      </c>
      <c r="G901" s="497" t="s">
        <v>448</v>
      </c>
    </row>
    <row r="902" spans="1:7" x14ac:dyDescent="0.2">
      <c r="A902" s="496" t="s">
        <v>2005</v>
      </c>
      <c r="B902" s="496" t="s">
        <v>580</v>
      </c>
      <c r="C902" s="496" t="s">
        <v>448</v>
      </c>
      <c r="D902" s="496" t="s">
        <v>903</v>
      </c>
      <c r="E902" s="496" t="s">
        <v>1609</v>
      </c>
      <c r="F902" s="505">
        <f>'CCS Budget - Detailed'!H154</f>
        <v>2952</v>
      </c>
      <c r="G902" s="497" t="s">
        <v>448</v>
      </c>
    </row>
    <row r="903" spans="1:7" x14ac:dyDescent="0.2">
      <c r="A903" s="494" t="s">
        <v>2005</v>
      </c>
      <c r="B903" s="496" t="s">
        <v>580</v>
      </c>
      <c r="C903" s="496" t="s">
        <v>448</v>
      </c>
      <c r="D903" s="496" t="s">
        <v>1998</v>
      </c>
      <c r="E903" s="496" t="s">
        <v>1609</v>
      </c>
      <c r="F903" s="505">
        <f>'CCS Budget - Detailed'!H156</f>
        <v>0</v>
      </c>
      <c r="G903" s="497" t="s">
        <v>448</v>
      </c>
    </row>
    <row r="904" spans="1:7" x14ac:dyDescent="0.2">
      <c r="A904" s="494" t="s">
        <v>2005</v>
      </c>
      <c r="B904" s="496" t="s">
        <v>580</v>
      </c>
      <c r="C904" s="496" t="s">
        <v>448</v>
      </c>
      <c r="D904" s="496" t="s">
        <v>2244</v>
      </c>
      <c r="E904" s="496" t="s">
        <v>1609</v>
      </c>
      <c r="F904" s="505">
        <f>'CCS Budget - Detailed'!H157</f>
        <v>2657</v>
      </c>
      <c r="G904" s="497" t="s">
        <v>448</v>
      </c>
    </row>
    <row r="905" spans="1:7" x14ac:dyDescent="0.2">
      <c r="A905" s="494" t="s">
        <v>2005</v>
      </c>
      <c r="B905" s="496" t="s">
        <v>580</v>
      </c>
      <c r="C905" s="496" t="s">
        <v>448</v>
      </c>
      <c r="D905" s="496" t="s">
        <v>2684</v>
      </c>
      <c r="E905" s="496" t="s">
        <v>1609</v>
      </c>
      <c r="F905" s="505">
        <f>'CCS Budget - Detailed'!H216</f>
        <v>100</v>
      </c>
      <c r="G905" s="497" t="s">
        <v>448</v>
      </c>
    </row>
    <row r="906" spans="1:7" x14ac:dyDescent="0.2">
      <c r="A906" s="494" t="s">
        <v>2005</v>
      </c>
      <c r="B906" s="496" t="s">
        <v>580</v>
      </c>
      <c r="C906" s="496" t="s">
        <v>448</v>
      </c>
      <c r="D906" s="496" t="s">
        <v>2509</v>
      </c>
      <c r="E906" s="496" t="s">
        <v>1609</v>
      </c>
      <c r="F906" s="505">
        <f>'CCS Budget - Detailed'!H217</f>
        <v>253</v>
      </c>
      <c r="G906" s="497" t="s">
        <v>448</v>
      </c>
    </row>
    <row r="907" spans="1:7" x14ac:dyDescent="0.2">
      <c r="A907" s="494" t="s">
        <v>2005</v>
      </c>
      <c r="B907" s="496" t="s">
        <v>580</v>
      </c>
      <c r="C907" s="496" t="s">
        <v>448</v>
      </c>
      <c r="D907" s="496" t="s">
        <v>2245</v>
      </c>
      <c r="E907" s="496" t="s">
        <v>1609</v>
      </c>
      <c r="F907" s="505">
        <f>'CCS Budget - Detailed'!H176</f>
        <v>5365</v>
      </c>
      <c r="G907" s="497" t="s">
        <v>448</v>
      </c>
    </row>
    <row r="908" spans="1:7" x14ac:dyDescent="0.2">
      <c r="A908" s="496" t="s">
        <v>2005</v>
      </c>
      <c r="B908" s="496" t="s">
        <v>580</v>
      </c>
      <c r="C908" s="496" t="s">
        <v>448</v>
      </c>
      <c r="D908" s="496" t="s">
        <v>1424</v>
      </c>
      <c r="E908" s="496" t="s">
        <v>1609</v>
      </c>
      <c r="F908" s="505">
        <f>'CCS Budget - Detailed'!H177</f>
        <v>16</v>
      </c>
      <c r="G908" s="497" t="s">
        <v>448</v>
      </c>
    </row>
    <row r="909" spans="1:7" x14ac:dyDescent="0.2">
      <c r="A909" s="494" t="s">
        <v>2005</v>
      </c>
      <c r="B909" s="496" t="s">
        <v>580</v>
      </c>
      <c r="C909" s="496" t="s">
        <v>448</v>
      </c>
      <c r="D909" s="496" t="s">
        <v>2246</v>
      </c>
      <c r="E909" s="496" t="s">
        <v>1609</v>
      </c>
      <c r="F909" s="505">
        <f>'CCS Budget - Detailed'!H178</f>
        <v>78</v>
      </c>
      <c r="G909" s="497" t="s">
        <v>448</v>
      </c>
    </row>
    <row r="910" spans="1:7" x14ac:dyDescent="0.2">
      <c r="A910" s="496" t="s">
        <v>2005</v>
      </c>
      <c r="B910" s="496" t="s">
        <v>580</v>
      </c>
      <c r="C910" s="496" t="s">
        <v>448</v>
      </c>
      <c r="D910" s="496" t="s">
        <v>1422</v>
      </c>
      <c r="E910" s="496" t="s">
        <v>1609</v>
      </c>
      <c r="F910" s="505">
        <f>'CCS Budget - Detailed'!H179</f>
        <v>1095</v>
      </c>
      <c r="G910" s="497" t="s">
        <v>448</v>
      </c>
    </row>
    <row r="911" spans="1:7" x14ac:dyDescent="0.2">
      <c r="A911" s="494" t="s">
        <v>2005</v>
      </c>
      <c r="B911" s="496" t="s">
        <v>580</v>
      </c>
      <c r="C911" s="496" t="s">
        <v>448</v>
      </c>
      <c r="D911" s="496" t="s">
        <v>1434</v>
      </c>
      <c r="E911" s="496" t="s">
        <v>1609</v>
      </c>
      <c r="F911" s="505">
        <f>'CCS Budget - Detailed'!H180</f>
        <v>1274</v>
      </c>
      <c r="G911" s="497" t="s">
        <v>448</v>
      </c>
    </row>
    <row r="912" spans="1:7" x14ac:dyDescent="0.2">
      <c r="A912" s="496" t="s">
        <v>2005</v>
      </c>
      <c r="B912" s="496" t="s">
        <v>580</v>
      </c>
      <c r="C912" s="496" t="s">
        <v>448</v>
      </c>
      <c r="D912" s="496" t="s">
        <v>1436</v>
      </c>
      <c r="E912" s="496" t="s">
        <v>1609</v>
      </c>
      <c r="F912" s="505">
        <f>'CCS Budget - Detailed'!H181+'CCS Budget - Detailed'!H182</f>
        <v>3641</v>
      </c>
      <c r="G912" s="497" t="s">
        <v>448</v>
      </c>
    </row>
    <row r="913" spans="1:7" x14ac:dyDescent="0.2">
      <c r="A913" s="494" t="s">
        <v>2005</v>
      </c>
      <c r="B913" s="496" t="s">
        <v>580</v>
      </c>
      <c r="C913" s="496" t="s">
        <v>448</v>
      </c>
      <c r="D913" s="496" t="s">
        <v>1439</v>
      </c>
      <c r="E913" s="496" t="s">
        <v>1609</v>
      </c>
      <c r="F913" s="505">
        <f>'CCS Budget - Detailed'!H190</f>
        <v>20918</v>
      </c>
      <c r="G913" s="497" t="s">
        <v>448</v>
      </c>
    </row>
    <row r="914" spans="1:7" x14ac:dyDescent="0.2">
      <c r="A914" s="494" t="s">
        <v>2005</v>
      </c>
      <c r="B914" s="496" t="s">
        <v>580</v>
      </c>
      <c r="C914" s="496" t="s">
        <v>448</v>
      </c>
      <c r="D914" s="496" t="s">
        <v>909</v>
      </c>
      <c r="E914" s="496" t="s">
        <v>1609</v>
      </c>
      <c r="F914" s="505">
        <f>'CCS Budget - Detailed'!H208</f>
        <v>4746</v>
      </c>
      <c r="G914" s="497" t="s">
        <v>448</v>
      </c>
    </row>
    <row r="915" spans="1:7" x14ac:dyDescent="0.2">
      <c r="A915" s="494" t="s">
        <v>2005</v>
      </c>
      <c r="B915" s="496" t="s">
        <v>580</v>
      </c>
      <c r="C915" s="496" t="s">
        <v>448</v>
      </c>
      <c r="D915" s="496" t="s">
        <v>2498</v>
      </c>
      <c r="E915" s="496" t="s">
        <v>1609</v>
      </c>
      <c r="F915" s="505">
        <f>'CCS Budget - Detailed'!H201</f>
        <v>600</v>
      </c>
      <c r="G915" s="497" t="s">
        <v>448</v>
      </c>
    </row>
    <row r="916" spans="1:7" x14ac:dyDescent="0.2">
      <c r="A916" s="494" t="s">
        <v>2005</v>
      </c>
      <c r="B916" s="496" t="s">
        <v>580</v>
      </c>
      <c r="C916" s="496" t="s">
        <v>448</v>
      </c>
      <c r="D916" s="496" t="s">
        <v>2500</v>
      </c>
      <c r="E916" s="496" t="s">
        <v>1609</v>
      </c>
      <c r="F916" s="505">
        <f>'CCS Budget - Detailed'!H202</f>
        <v>2</v>
      </c>
      <c r="G916" s="497" t="s">
        <v>448</v>
      </c>
    </row>
    <row r="917" spans="1:7" x14ac:dyDescent="0.2">
      <c r="A917" s="494" t="s">
        <v>2005</v>
      </c>
      <c r="B917" s="496" t="s">
        <v>580</v>
      </c>
      <c r="C917" s="496" t="s">
        <v>448</v>
      </c>
      <c r="D917" s="496" t="s">
        <v>2503</v>
      </c>
      <c r="E917" s="496" t="s">
        <v>1609</v>
      </c>
      <c r="F917" s="505">
        <f>'CCS Budget - Detailed'!H203</f>
        <v>9</v>
      </c>
      <c r="G917" s="497" t="s">
        <v>448</v>
      </c>
    </row>
    <row r="918" spans="1:7" x14ac:dyDescent="0.2">
      <c r="A918" s="494" t="s">
        <v>2005</v>
      </c>
      <c r="B918" s="496" t="s">
        <v>580</v>
      </c>
      <c r="C918" s="496" t="s">
        <v>448</v>
      </c>
      <c r="D918" s="496" t="s">
        <v>2504</v>
      </c>
      <c r="E918" s="496" t="s">
        <v>1609</v>
      </c>
      <c r="F918" s="505">
        <f>'CCS Budget - Detailed'!H204</f>
        <v>122</v>
      </c>
      <c r="G918" s="497" t="s">
        <v>448</v>
      </c>
    </row>
    <row r="919" spans="1:7" x14ac:dyDescent="0.2">
      <c r="A919" s="494" t="s">
        <v>2005</v>
      </c>
      <c r="B919" s="496" t="s">
        <v>580</v>
      </c>
      <c r="C919" s="496" t="s">
        <v>448</v>
      </c>
      <c r="D919" s="496" t="s">
        <v>2506</v>
      </c>
      <c r="E919" s="496" t="s">
        <v>1609</v>
      </c>
      <c r="F919" s="505">
        <f>'CCS Budget - Detailed'!H205</f>
        <v>650</v>
      </c>
      <c r="G919" s="497" t="s">
        <v>448</v>
      </c>
    </row>
    <row r="920" spans="1:7" x14ac:dyDescent="0.2">
      <c r="A920" s="496" t="s">
        <v>2005</v>
      </c>
      <c r="B920" s="496" t="s">
        <v>580</v>
      </c>
      <c r="C920" s="496" t="s">
        <v>448</v>
      </c>
      <c r="D920" s="496" t="s">
        <v>911</v>
      </c>
      <c r="E920" s="496" t="s">
        <v>1609</v>
      </c>
      <c r="F920" s="505">
        <f>'CCS Budget - Detailed'!H211</f>
        <v>31413</v>
      </c>
      <c r="G920" s="497" t="s">
        <v>448</v>
      </c>
    </row>
    <row r="921" spans="1:7" x14ac:dyDescent="0.2">
      <c r="A921" s="494" t="s">
        <v>2005</v>
      </c>
      <c r="B921" s="496" t="s">
        <v>580</v>
      </c>
      <c r="C921" s="496" t="s">
        <v>448</v>
      </c>
      <c r="D921" s="496" t="s">
        <v>2249</v>
      </c>
      <c r="E921" s="496" t="s">
        <v>1609</v>
      </c>
      <c r="F921" s="505">
        <f>'CCS Budget - Detailed'!H212</f>
        <v>94</v>
      </c>
      <c r="G921" s="497" t="s">
        <v>448</v>
      </c>
    </row>
    <row r="922" spans="1:7" x14ac:dyDescent="0.2">
      <c r="A922" s="496" t="s">
        <v>2005</v>
      </c>
      <c r="B922" s="496" t="s">
        <v>580</v>
      </c>
      <c r="C922" s="496" t="s">
        <v>448</v>
      </c>
      <c r="D922" s="496" t="s">
        <v>913</v>
      </c>
      <c r="E922" s="496" t="s">
        <v>1609</v>
      </c>
      <c r="F922" s="505">
        <f>'CCS Budget - Detailed'!H213</f>
        <v>455</v>
      </c>
      <c r="G922" s="497" t="s">
        <v>448</v>
      </c>
    </row>
    <row r="923" spans="1:7" x14ac:dyDescent="0.2">
      <c r="A923" s="494" t="s">
        <v>2005</v>
      </c>
      <c r="B923" s="496" t="s">
        <v>580</v>
      </c>
      <c r="C923" s="496" t="s">
        <v>448</v>
      </c>
      <c r="D923" s="496" t="s">
        <v>915</v>
      </c>
      <c r="E923" s="496" t="s">
        <v>1609</v>
      </c>
      <c r="F923" s="505">
        <f>'CCS Budget - Detailed'!H214</f>
        <v>6408</v>
      </c>
      <c r="G923" s="497" t="s">
        <v>448</v>
      </c>
    </row>
    <row r="924" spans="1:7" x14ac:dyDescent="0.2">
      <c r="A924" s="496" t="s">
        <v>2005</v>
      </c>
      <c r="B924" s="496" t="s">
        <v>580</v>
      </c>
      <c r="C924" s="496" t="s">
        <v>448</v>
      </c>
      <c r="D924" s="496" t="s">
        <v>2250</v>
      </c>
      <c r="E924" s="496" t="s">
        <v>1609</v>
      </c>
      <c r="F924" s="505">
        <f>'CCS Budget - Detailed'!H215</f>
        <v>3600</v>
      </c>
      <c r="G924" s="497" t="s">
        <v>448</v>
      </c>
    </row>
    <row r="925" spans="1:7" x14ac:dyDescent="0.2">
      <c r="A925" s="496" t="s">
        <v>2005</v>
      </c>
      <c r="B925" s="496" t="s">
        <v>580</v>
      </c>
      <c r="C925" s="496" t="s">
        <v>448</v>
      </c>
      <c r="D925" s="496" t="s">
        <v>2511</v>
      </c>
      <c r="E925" s="496" t="s">
        <v>1609</v>
      </c>
      <c r="F925" s="505">
        <f>'CCS Budget - Detailed'!H220</f>
        <v>2290</v>
      </c>
      <c r="G925" s="497" t="s">
        <v>448</v>
      </c>
    </row>
    <row r="926" spans="1:7" x14ac:dyDescent="0.2">
      <c r="A926" s="496" t="s">
        <v>2005</v>
      </c>
      <c r="B926" s="496" t="s">
        <v>580</v>
      </c>
      <c r="C926" s="496" t="s">
        <v>448</v>
      </c>
      <c r="D926" s="496" t="s">
        <v>2514</v>
      </c>
      <c r="E926" s="496" t="s">
        <v>1609</v>
      </c>
      <c r="F926" s="505">
        <f>'CCS Budget - Detailed'!H223</f>
        <v>995</v>
      </c>
      <c r="G926" s="497" t="s">
        <v>448</v>
      </c>
    </row>
    <row r="927" spans="1:7" x14ac:dyDescent="0.2">
      <c r="A927" s="496" t="s">
        <v>2005</v>
      </c>
      <c r="B927" s="496" t="s">
        <v>580</v>
      </c>
      <c r="C927" s="496" t="s">
        <v>448</v>
      </c>
      <c r="D927" s="496" t="s">
        <v>1426</v>
      </c>
      <c r="E927" s="496" t="s">
        <v>1609</v>
      </c>
      <c r="F927" s="505">
        <f>'CCS Budget - Detailed'!H183</f>
        <v>3035</v>
      </c>
      <c r="G927" s="497" t="s">
        <v>448</v>
      </c>
    </row>
    <row r="928" spans="1:7" x14ac:dyDescent="0.2">
      <c r="A928" s="494" t="s">
        <v>2005</v>
      </c>
      <c r="B928" s="496" t="s">
        <v>580</v>
      </c>
      <c r="C928" s="496" t="s">
        <v>448</v>
      </c>
      <c r="D928" s="496" t="s">
        <v>1431</v>
      </c>
      <c r="E928" s="496" t="s">
        <v>1609</v>
      </c>
      <c r="F928" s="505">
        <f>'CCS Budget - Detailed'!H184</f>
        <v>9</v>
      </c>
      <c r="G928" s="497" t="s">
        <v>448</v>
      </c>
    </row>
    <row r="929" spans="1:8" x14ac:dyDescent="0.2">
      <c r="A929" s="496" t="s">
        <v>2005</v>
      </c>
      <c r="B929" s="496" t="s">
        <v>580</v>
      </c>
      <c r="C929" s="496" t="s">
        <v>448</v>
      </c>
      <c r="D929" s="496" t="s">
        <v>2251</v>
      </c>
      <c r="E929" s="496" t="s">
        <v>1609</v>
      </c>
      <c r="F929" s="505">
        <f>'CCS Budget - Detailed'!H185</f>
        <v>44</v>
      </c>
      <c r="G929" s="497" t="s">
        <v>448</v>
      </c>
    </row>
    <row r="930" spans="1:8" x14ac:dyDescent="0.2">
      <c r="A930" s="494" t="s">
        <v>2005</v>
      </c>
      <c r="B930" s="496" t="s">
        <v>580</v>
      </c>
      <c r="C930" s="496" t="s">
        <v>448</v>
      </c>
      <c r="D930" s="496" t="s">
        <v>1429</v>
      </c>
      <c r="E930" s="496" t="s">
        <v>1609</v>
      </c>
      <c r="F930" s="505">
        <f>'CCS Budget - Detailed'!H186</f>
        <v>612</v>
      </c>
      <c r="G930" s="497" t="s">
        <v>448</v>
      </c>
    </row>
    <row r="931" spans="1:8" x14ac:dyDescent="0.2">
      <c r="A931" s="494" t="s">
        <v>2005</v>
      </c>
      <c r="B931" s="496" t="s">
        <v>580</v>
      </c>
      <c r="C931" s="496" t="s">
        <v>448</v>
      </c>
      <c r="D931" s="496" t="s">
        <v>2247</v>
      </c>
      <c r="E931" s="496" t="s">
        <v>1609</v>
      </c>
      <c r="F931" s="505">
        <f>'CCS Budget - Detailed'!H187</f>
        <v>1456</v>
      </c>
      <c r="G931" s="497" t="s">
        <v>448</v>
      </c>
    </row>
    <row r="932" spans="1:8" x14ac:dyDescent="0.2">
      <c r="A932" s="496" t="s">
        <v>2005</v>
      </c>
      <c r="B932" s="496" t="s">
        <v>580</v>
      </c>
      <c r="C932" s="496" t="s">
        <v>448</v>
      </c>
      <c r="D932" s="496" t="s">
        <v>2252</v>
      </c>
      <c r="E932" s="496" t="s">
        <v>1609</v>
      </c>
      <c r="F932" s="505">
        <f>'CCS Budget - Detailed'!H168</f>
        <v>17500</v>
      </c>
      <c r="G932" s="497" t="s">
        <v>448</v>
      </c>
    </row>
    <row r="933" spans="1:8" x14ac:dyDescent="0.2">
      <c r="A933" s="496" t="s">
        <v>2005</v>
      </c>
      <c r="B933" s="496" t="s">
        <v>580</v>
      </c>
      <c r="C933" s="496" t="s">
        <v>448</v>
      </c>
      <c r="D933" s="496" t="s">
        <v>1419</v>
      </c>
      <c r="E933" s="496" t="s">
        <v>1609</v>
      </c>
      <c r="F933" s="505">
        <f>'CCS Budget - Detailed'!H169</f>
        <v>65</v>
      </c>
      <c r="G933" s="497" t="s">
        <v>448</v>
      </c>
    </row>
    <row r="934" spans="1:8" x14ac:dyDescent="0.2">
      <c r="A934" s="494" t="s">
        <v>2005</v>
      </c>
      <c r="B934" s="496" t="s">
        <v>580</v>
      </c>
      <c r="C934" s="496" t="s">
        <v>448</v>
      </c>
      <c r="D934" s="496" t="s">
        <v>1416</v>
      </c>
      <c r="E934" s="496" t="s">
        <v>1609</v>
      </c>
      <c r="F934" s="505">
        <f>'CCS Budget - Detailed'!H170</f>
        <v>53</v>
      </c>
      <c r="G934" s="497" t="s">
        <v>448</v>
      </c>
    </row>
    <row r="935" spans="1:8" x14ac:dyDescent="0.2">
      <c r="A935" s="496" t="s">
        <v>2005</v>
      </c>
      <c r="B935" s="496" t="s">
        <v>580</v>
      </c>
      <c r="C935" s="496" t="s">
        <v>448</v>
      </c>
      <c r="D935" s="496" t="s">
        <v>2253</v>
      </c>
      <c r="E935" s="496" t="s">
        <v>1609</v>
      </c>
      <c r="F935" s="505">
        <f>'CCS Budget - Detailed'!H171</f>
        <v>254</v>
      </c>
      <c r="G935" s="497" t="s">
        <v>448</v>
      </c>
    </row>
    <row r="936" spans="1:8" x14ac:dyDescent="0.2">
      <c r="A936" s="494" t="s">
        <v>2005</v>
      </c>
      <c r="B936" s="496" t="s">
        <v>580</v>
      </c>
      <c r="C936" s="496" t="s">
        <v>448</v>
      </c>
      <c r="D936" s="496" t="s">
        <v>1414</v>
      </c>
      <c r="E936" s="496" t="s">
        <v>1609</v>
      </c>
      <c r="F936" s="505">
        <f>'CCS Budget - Detailed'!H172</f>
        <v>3570</v>
      </c>
      <c r="G936" s="497" t="s">
        <v>448</v>
      </c>
    </row>
    <row r="937" spans="1:8" x14ac:dyDescent="0.2">
      <c r="A937" s="496" t="s">
        <v>2005</v>
      </c>
      <c r="B937" s="496" t="s">
        <v>580</v>
      </c>
      <c r="C937" s="496" t="s">
        <v>448</v>
      </c>
      <c r="D937" s="496" t="s">
        <v>1412</v>
      </c>
      <c r="E937" s="496" t="s">
        <v>1609</v>
      </c>
      <c r="F937" s="505">
        <f>'CCS Budget - Detailed'!H173</f>
        <v>6170</v>
      </c>
      <c r="G937" s="497" t="s">
        <v>448</v>
      </c>
    </row>
    <row r="938" spans="1:8" x14ac:dyDescent="0.2">
      <c r="A938" s="496" t="s">
        <v>2005</v>
      </c>
      <c r="B938" s="496" t="s">
        <v>580</v>
      </c>
      <c r="C938" s="496" t="s">
        <v>448</v>
      </c>
      <c r="D938" s="496" t="s">
        <v>2248</v>
      </c>
      <c r="E938" s="496" t="s">
        <v>1609</v>
      </c>
      <c r="F938" s="505">
        <f>'CCS Budget - Detailed'!H174+'CCS Budget - Detailed'!H175</f>
        <v>7595</v>
      </c>
      <c r="G938" s="497" t="s">
        <v>448</v>
      </c>
    </row>
    <row r="939" spans="1:8" x14ac:dyDescent="0.2">
      <c r="A939" s="494" t="s">
        <v>2005</v>
      </c>
      <c r="B939" s="496" t="s">
        <v>580</v>
      </c>
      <c r="C939" s="496" t="s">
        <v>448</v>
      </c>
      <c r="D939" s="496" t="s">
        <v>1405</v>
      </c>
      <c r="E939" s="496" t="s">
        <v>1609</v>
      </c>
      <c r="F939" s="505">
        <f>'CCS Budget - Detailed'!H164</f>
        <v>4878</v>
      </c>
      <c r="G939" s="497" t="s">
        <v>448</v>
      </c>
    </row>
    <row r="940" spans="1:8" x14ac:dyDescent="0.2">
      <c r="A940" s="494" t="s">
        <v>2005</v>
      </c>
      <c r="B940" s="496" t="s">
        <v>580</v>
      </c>
      <c r="C940" s="496" t="s">
        <v>448</v>
      </c>
      <c r="D940" s="496" t="s">
        <v>920</v>
      </c>
      <c r="E940" s="496" t="s">
        <v>1609</v>
      </c>
      <c r="F940" s="505">
        <f>'CCS Budget - Detailed'!H241</f>
        <v>0</v>
      </c>
      <c r="G940" s="497" t="s">
        <v>448</v>
      </c>
      <c r="H940" s="506">
        <f>SUM(F815:F940)</f>
        <v>767633</v>
      </c>
    </row>
    <row r="941" spans="1:8" x14ac:dyDescent="0.2">
      <c r="A941" s="494" t="s">
        <v>2005</v>
      </c>
      <c r="B941" s="496" t="s">
        <v>580</v>
      </c>
      <c r="C941" s="496" t="s">
        <v>448</v>
      </c>
      <c r="D941" s="496" t="s">
        <v>943</v>
      </c>
      <c r="E941" s="496" t="s">
        <v>1609</v>
      </c>
      <c r="F941" s="505">
        <f>'CCS Budget - Detailed'!H248</f>
        <v>215000</v>
      </c>
      <c r="G941" s="497" t="s">
        <v>448</v>
      </c>
    </row>
    <row r="942" spans="1:8" x14ac:dyDescent="0.2">
      <c r="A942" s="496" t="s">
        <v>2005</v>
      </c>
      <c r="B942" s="496" t="s">
        <v>580</v>
      </c>
      <c r="C942" s="496" t="s">
        <v>448</v>
      </c>
      <c r="D942" s="496" t="s">
        <v>947</v>
      </c>
      <c r="E942" s="496" t="s">
        <v>1609</v>
      </c>
      <c r="F942" s="505">
        <f>'CCS Budget - Detailed'!H250</f>
        <v>59234</v>
      </c>
      <c r="G942" s="497" t="s">
        <v>448</v>
      </c>
    </row>
    <row r="943" spans="1:8" x14ac:dyDescent="0.2">
      <c r="A943" s="494" t="s">
        <v>2005</v>
      </c>
      <c r="B943" s="496" t="s">
        <v>580</v>
      </c>
      <c r="C943" s="496" t="s">
        <v>448</v>
      </c>
      <c r="D943" s="496" t="s">
        <v>949</v>
      </c>
      <c r="E943" s="496" t="s">
        <v>1609</v>
      </c>
      <c r="F943" s="505">
        <f>'CCS Budget - Detailed'!H251</f>
        <v>37000</v>
      </c>
      <c r="G943" s="497" t="s">
        <v>448</v>
      </c>
    </row>
    <row r="944" spans="1:8" x14ac:dyDescent="0.2">
      <c r="A944" s="496" t="s">
        <v>2005</v>
      </c>
      <c r="B944" s="496" t="s">
        <v>580</v>
      </c>
      <c r="C944" s="496" t="s">
        <v>448</v>
      </c>
      <c r="D944" s="496" t="s">
        <v>952</v>
      </c>
      <c r="E944" s="496" t="s">
        <v>1609</v>
      </c>
      <c r="F944" s="505">
        <f>'CCS Budget - Detailed'!H253</f>
        <v>12380</v>
      </c>
      <c r="G944" s="497" t="s">
        <v>448</v>
      </c>
    </row>
    <row r="945" spans="1:7" x14ac:dyDescent="0.2">
      <c r="A945" s="494" t="s">
        <v>2005</v>
      </c>
      <c r="B945" s="496" t="s">
        <v>580</v>
      </c>
      <c r="C945" s="496" t="s">
        <v>448</v>
      </c>
      <c r="D945" s="496" t="s">
        <v>2254</v>
      </c>
      <c r="E945" s="496" t="s">
        <v>1609</v>
      </c>
      <c r="F945" s="505">
        <f>'CCS Budget - Detailed'!H254</f>
        <v>178</v>
      </c>
      <c r="G945" s="497" t="s">
        <v>448</v>
      </c>
    </row>
    <row r="946" spans="1:7" x14ac:dyDescent="0.2">
      <c r="A946" s="496" t="s">
        <v>2005</v>
      </c>
      <c r="B946" s="496" t="s">
        <v>580</v>
      </c>
      <c r="C946" s="496" t="s">
        <v>448</v>
      </c>
      <c r="D946" s="496" t="s">
        <v>2255</v>
      </c>
      <c r="E946" s="496" t="s">
        <v>1609</v>
      </c>
      <c r="F946" s="505">
        <f>'CCS Budget - Detailed'!H255</f>
        <v>111</v>
      </c>
      <c r="G946" s="497" t="s">
        <v>448</v>
      </c>
    </row>
    <row r="947" spans="1:7" x14ac:dyDescent="0.2">
      <c r="A947" s="494" t="s">
        <v>2005</v>
      </c>
      <c r="B947" s="496" t="s">
        <v>580</v>
      </c>
      <c r="C947" s="496" t="s">
        <v>448</v>
      </c>
      <c r="D947" s="496" t="s">
        <v>2256</v>
      </c>
      <c r="E947" s="496" t="s">
        <v>1609</v>
      </c>
      <c r="F947" s="505">
        <f>'CCS Budget - Detailed'!H257</f>
        <v>37</v>
      </c>
      <c r="G947" s="497" t="s">
        <v>448</v>
      </c>
    </row>
    <row r="948" spans="1:7" x14ac:dyDescent="0.2">
      <c r="A948" s="494" t="s">
        <v>2005</v>
      </c>
      <c r="B948" s="496" t="s">
        <v>580</v>
      </c>
      <c r="C948" s="496" t="s">
        <v>448</v>
      </c>
      <c r="D948" s="496" t="s">
        <v>954</v>
      </c>
      <c r="E948" s="496" t="s">
        <v>1609</v>
      </c>
      <c r="F948" s="505">
        <f>'CCS Budget - Detailed'!H258</f>
        <v>859</v>
      </c>
      <c r="G948" s="497" t="s">
        <v>448</v>
      </c>
    </row>
    <row r="949" spans="1:7" x14ac:dyDescent="0.2">
      <c r="A949" s="496" t="s">
        <v>2005</v>
      </c>
      <c r="B949" s="496" t="s">
        <v>580</v>
      </c>
      <c r="C949" s="496" t="s">
        <v>448</v>
      </c>
      <c r="D949" s="496" t="s">
        <v>956</v>
      </c>
      <c r="E949" s="496" t="s">
        <v>1609</v>
      </c>
      <c r="F949" s="505">
        <f>'CCS Budget - Detailed'!H259</f>
        <v>537</v>
      </c>
      <c r="G949" s="497" t="s">
        <v>448</v>
      </c>
    </row>
    <row r="950" spans="1:7" x14ac:dyDescent="0.2">
      <c r="A950" s="494" t="s">
        <v>2005</v>
      </c>
      <c r="B950" s="496" t="s">
        <v>580</v>
      </c>
      <c r="C950" s="496" t="s">
        <v>448</v>
      </c>
      <c r="D950" s="496" t="s">
        <v>959</v>
      </c>
      <c r="E950" s="496" t="s">
        <v>1609</v>
      </c>
      <c r="F950" s="505">
        <f>'CCS Budget - Detailed'!H261</f>
        <v>180</v>
      </c>
      <c r="G950" s="497" t="s">
        <v>448</v>
      </c>
    </row>
    <row r="951" spans="1:7" x14ac:dyDescent="0.2">
      <c r="A951" s="496" t="s">
        <v>2005</v>
      </c>
      <c r="B951" s="496" t="s">
        <v>580</v>
      </c>
      <c r="C951" s="496" t="s">
        <v>448</v>
      </c>
      <c r="D951" s="496" t="s">
        <v>961</v>
      </c>
      <c r="E951" s="496" t="s">
        <v>1609</v>
      </c>
      <c r="F951" s="505">
        <f>'CCS Budget - Detailed'!H262</f>
        <v>12084</v>
      </c>
      <c r="G951" s="497" t="s">
        <v>448</v>
      </c>
    </row>
    <row r="952" spans="1:7" x14ac:dyDescent="0.2">
      <c r="A952" s="494" t="s">
        <v>2005</v>
      </c>
      <c r="B952" s="496" t="s">
        <v>580</v>
      </c>
      <c r="C952" s="496" t="s">
        <v>448</v>
      </c>
      <c r="D952" s="496" t="s">
        <v>963</v>
      </c>
      <c r="E952" s="496" t="s">
        <v>1609</v>
      </c>
      <c r="F952" s="505">
        <f>'CCS Budget - Detailed'!H263</f>
        <v>7548</v>
      </c>
      <c r="G952" s="497" t="s">
        <v>448</v>
      </c>
    </row>
    <row r="953" spans="1:7" x14ac:dyDescent="0.2">
      <c r="A953" s="496" t="s">
        <v>2005</v>
      </c>
      <c r="B953" s="496" t="s">
        <v>580</v>
      </c>
      <c r="C953" s="496" t="s">
        <v>448</v>
      </c>
      <c r="D953" s="496" t="s">
        <v>966</v>
      </c>
      <c r="E953" s="496" t="s">
        <v>1609</v>
      </c>
      <c r="F953" s="505">
        <f>'CCS Budget - Detailed'!H265</f>
        <v>2526</v>
      </c>
      <c r="G953" s="497" t="s">
        <v>448</v>
      </c>
    </row>
    <row r="954" spans="1:7" x14ac:dyDescent="0.2">
      <c r="A954" s="494" t="s">
        <v>2005</v>
      </c>
      <c r="B954" s="496" t="s">
        <v>580</v>
      </c>
      <c r="C954" s="496" t="s">
        <v>448</v>
      </c>
      <c r="D954" s="496" t="s">
        <v>2257</v>
      </c>
      <c r="E954" s="496" t="s">
        <v>1609</v>
      </c>
      <c r="F954" s="505">
        <f>'CCS Budget - Detailed'!H266</f>
        <v>6170</v>
      </c>
      <c r="G954" s="497" t="s">
        <v>1756</v>
      </c>
    </row>
    <row r="955" spans="1:7" x14ac:dyDescent="0.2">
      <c r="A955" s="496" t="s">
        <v>2005</v>
      </c>
      <c r="B955" s="496" t="s">
        <v>580</v>
      </c>
      <c r="C955" s="496" t="s">
        <v>448</v>
      </c>
      <c r="D955" s="496" t="s">
        <v>2258</v>
      </c>
      <c r="E955" s="496" t="s">
        <v>1609</v>
      </c>
      <c r="F955" s="505">
        <f>'CCS Budget - Detailed'!H267</f>
        <v>6170</v>
      </c>
      <c r="G955" s="497" t="s">
        <v>448</v>
      </c>
    </row>
    <row r="956" spans="1:7" x14ac:dyDescent="0.2">
      <c r="A956" s="496" t="s">
        <v>2005</v>
      </c>
      <c r="B956" s="496" t="s">
        <v>580</v>
      </c>
      <c r="C956" s="496" t="s">
        <v>448</v>
      </c>
      <c r="D956" s="496" t="s">
        <v>976</v>
      </c>
      <c r="E956" s="496" t="s">
        <v>1609</v>
      </c>
      <c r="F956" s="505">
        <f>'CCS Budget - Detailed'!H270</f>
        <v>4000</v>
      </c>
      <c r="G956" s="497" t="s">
        <v>448</v>
      </c>
    </row>
    <row r="957" spans="1:7" x14ac:dyDescent="0.2">
      <c r="A957" s="494" t="s">
        <v>2005</v>
      </c>
      <c r="B957" s="496" t="s">
        <v>580</v>
      </c>
      <c r="C957" s="496" t="s">
        <v>448</v>
      </c>
      <c r="D957" s="496" t="s">
        <v>978</v>
      </c>
      <c r="E957" s="496" t="s">
        <v>1609</v>
      </c>
      <c r="F957" s="505">
        <f>'CCS Budget - Detailed'!H271</f>
        <v>8500</v>
      </c>
      <c r="G957" s="497" t="s">
        <v>448</v>
      </c>
    </row>
    <row r="958" spans="1:7" x14ac:dyDescent="0.2">
      <c r="A958" s="496" t="s">
        <v>2005</v>
      </c>
      <c r="B958" s="496" t="s">
        <v>580</v>
      </c>
      <c r="C958" s="496" t="s">
        <v>448</v>
      </c>
      <c r="D958" s="496" t="s">
        <v>980</v>
      </c>
      <c r="E958" s="496" t="s">
        <v>1609</v>
      </c>
      <c r="F958" s="505">
        <f>'CCS Budget - Detailed'!H272</f>
        <v>13800</v>
      </c>
      <c r="G958" s="497" t="s">
        <v>448</v>
      </c>
    </row>
    <row r="959" spans="1:7" x14ac:dyDescent="0.2">
      <c r="A959" s="494" t="s">
        <v>2005</v>
      </c>
      <c r="B959" s="496" t="s">
        <v>580</v>
      </c>
      <c r="C959" s="496" t="s">
        <v>448</v>
      </c>
      <c r="D959" s="496" t="s">
        <v>982</v>
      </c>
      <c r="E959" s="496" t="s">
        <v>1609</v>
      </c>
      <c r="F959" s="505">
        <f>'CCS Budget - Detailed'!H273</f>
        <v>400</v>
      </c>
      <c r="G959" s="497" t="s">
        <v>448</v>
      </c>
    </row>
    <row r="960" spans="1:7" x14ac:dyDescent="0.2">
      <c r="A960" s="496" t="s">
        <v>2005</v>
      </c>
      <c r="B960" s="496" t="s">
        <v>580</v>
      </c>
      <c r="C960" s="496" t="s">
        <v>448</v>
      </c>
      <c r="D960" s="496" t="s">
        <v>984</v>
      </c>
      <c r="E960" s="496" t="s">
        <v>1609</v>
      </c>
      <c r="F960" s="505">
        <f>'CCS Budget - Detailed'!H274</f>
        <v>2000</v>
      </c>
      <c r="G960" s="497" t="s">
        <v>448</v>
      </c>
    </row>
    <row r="961" spans="1:7" x14ac:dyDescent="0.2">
      <c r="A961" s="494" t="s">
        <v>2005</v>
      </c>
      <c r="B961" s="496" t="s">
        <v>580</v>
      </c>
      <c r="C961" s="496" t="s">
        <v>448</v>
      </c>
      <c r="D961" s="496" t="s">
        <v>986</v>
      </c>
      <c r="E961" s="496" t="s">
        <v>1609</v>
      </c>
      <c r="F961" s="505">
        <f>'CCS Budget - Detailed'!H275</f>
        <v>0</v>
      </c>
      <c r="G961" s="497" t="s">
        <v>448</v>
      </c>
    </row>
    <row r="962" spans="1:7" x14ac:dyDescent="0.2">
      <c r="A962" s="496" t="s">
        <v>2005</v>
      </c>
      <c r="B962" s="496" t="s">
        <v>580</v>
      </c>
      <c r="C962" s="496" t="s">
        <v>448</v>
      </c>
      <c r="D962" s="496" t="s">
        <v>988</v>
      </c>
      <c r="E962" s="496" t="s">
        <v>1609</v>
      </c>
      <c r="F962" s="505">
        <f>'CCS Budget - Detailed'!H276</f>
        <v>4000</v>
      </c>
      <c r="G962" s="497" t="s">
        <v>448</v>
      </c>
    </row>
    <row r="963" spans="1:7" x14ac:dyDescent="0.2">
      <c r="A963" s="494" t="s">
        <v>2005</v>
      </c>
      <c r="B963" s="496" t="s">
        <v>580</v>
      </c>
      <c r="C963" s="496" t="s">
        <v>448</v>
      </c>
      <c r="D963" s="496" t="s">
        <v>991</v>
      </c>
      <c r="E963" s="496" t="s">
        <v>1609</v>
      </c>
      <c r="F963" s="505">
        <f>'CCS Budget - Detailed'!H278</f>
        <v>500</v>
      </c>
      <c r="G963" s="497" t="s">
        <v>448</v>
      </c>
    </row>
    <row r="964" spans="1:7" x14ac:dyDescent="0.2">
      <c r="A964" s="496" t="s">
        <v>2005</v>
      </c>
      <c r="B964" s="496" t="s">
        <v>580</v>
      </c>
      <c r="C964" s="496" t="s">
        <v>448</v>
      </c>
      <c r="D964" s="496" t="s">
        <v>994</v>
      </c>
      <c r="E964" s="496" t="s">
        <v>1609</v>
      </c>
      <c r="F964" s="505">
        <f>'CCS Budget - Detailed'!H281</f>
        <v>700</v>
      </c>
      <c r="G964" s="497" t="s">
        <v>448</v>
      </c>
    </row>
    <row r="965" spans="1:7" x14ac:dyDescent="0.2">
      <c r="A965" s="494" t="s">
        <v>2005</v>
      </c>
      <c r="B965" s="496" t="s">
        <v>580</v>
      </c>
      <c r="C965" s="496" t="s">
        <v>448</v>
      </c>
      <c r="D965" s="496" t="s">
        <v>996</v>
      </c>
      <c r="E965" s="496" t="s">
        <v>1609</v>
      </c>
      <c r="F965" s="505">
        <f>'CCS Budget - Detailed'!H282</f>
        <v>7500</v>
      </c>
      <c r="G965" s="497" t="s">
        <v>448</v>
      </c>
    </row>
    <row r="966" spans="1:7" x14ac:dyDescent="0.2">
      <c r="A966" s="496" t="s">
        <v>2005</v>
      </c>
      <c r="B966" s="496" t="s">
        <v>580</v>
      </c>
      <c r="C966" s="496" t="s">
        <v>448</v>
      </c>
      <c r="D966" s="496" t="s">
        <v>998</v>
      </c>
      <c r="E966" s="496" t="s">
        <v>1609</v>
      </c>
      <c r="F966" s="505">
        <f>'CCS Budget - Detailed'!H283</f>
        <v>6600</v>
      </c>
      <c r="G966" s="497" t="s">
        <v>448</v>
      </c>
    </row>
    <row r="967" spans="1:7" x14ac:dyDescent="0.2">
      <c r="A967" s="494" t="s">
        <v>2005</v>
      </c>
      <c r="B967" s="496" t="s">
        <v>580</v>
      </c>
      <c r="C967" s="496" t="s">
        <v>448</v>
      </c>
      <c r="D967" s="496" t="s">
        <v>1000</v>
      </c>
      <c r="E967" s="496" t="s">
        <v>1609</v>
      </c>
      <c r="F967" s="505">
        <f>'CCS Budget - Detailed'!H284</f>
        <v>3500</v>
      </c>
      <c r="G967" s="497" t="s">
        <v>448</v>
      </c>
    </row>
    <row r="968" spans="1:7" x14ac:dyDescent="0.2">
      <c r="A968" s="496" t="s">
        <v>2005</v>
      </c>
      <c r="B968" s="496" t="s">
        <v>580</v>
      </c>
      <c r="C968" s="496" t="s">
        <v>448</v>
      </c>
      <c r="D968" s="496" t="s">
        <v>1002</v>
      </c>
      <c r="E968" s="496" t="s">
        <v>1609</v>
      </c>
      <c r="F968" s="505">
        <f>'CCS Budget - Detailed'!H285</f>
        <v>5500</v>
      </c>
      <c r="G968" s="497" t="s">
        <v>448</v>
      </c>
    </row>
    <row r="969" spans="1:7" x14ac:dyDescent="0.2">
      <c r="A969" s="494" t="s">
        <v>2005</v>
      </c>
      <c r="B969" s="496" t="s">
        <v>580</v>
      </c>
      <c r="C969" s="496" t="s">
        <v>448</v>
      </c>
      <c r="D969" s="496" t="s">
        <v>1007</v>
      </c>
      <c r="E969" s="496" t="s">
        <v>1609</v>
      </c>
      <c r="F969" s="505">
        <f>'CCS Budget - Detailed'!H289</f>
        <v>24980</v>
      </c>
      <c r="G969" s="497" t="s">
        <v>448</v>
      </c>
    </row>
    <row r="970" spans="1:7" x14ac:dyDescent="0.2">
      <c r="A970" s="496" t="s">
        <v>2005</v>
      </c>
      <c r="B970" s="496" t="s">
        <v>580</v>
      </c>
      <c r="C970" s="496" t="s">
        <v>448</v>
      </c>
      <c r="D970" s="496" t="s">
        <v>2260</v>
      </c>
      <c r="E970" s="496" t="s">
        <v>1609</v>
      </c>
      <c r="F970" s="505">
        <f>'CCS Budget - Detailed'!H290</f>
        <v>75</v>
      </c>
      <c r="G970" s="497" t="s">
        <v>448</v>
      </c>
    </row>
    <row r="971" spans="1:7" x14ac:dyDescent="0.2">
      <c r="A971" s="494" t="s">
        <v>2005</v>
      </c>
      <c r="B971" s="496" t="s">
        <v>580</v>
      </c>
      <c r="C971" s="496" t="s">
        <v>448</v>
      </c>
      <c r="D971" s="496" t="s">
        <v>1010</v>
      </c>
      <c r="E971" s="496" t="s">
        <v>1609</v>
      </c>
      <c r="F971" s="505">
        <f>'CCS Budget - Detailed'!H291</f>
        <v>362</v>
      </c>
      <c r="G971" s="497" t="s">
        <v>448</v>
      </c>
    </row>
    <row r="972" spans="1:7" x14ac:dyDescent="0.2">
      <c r="A972" s="496" t="s">
        <v>2005</v>
      </c>
      <c r="B972" s="496" t="s">
        <v>580</v>
      </c>
      <c r="C972" s="496" t="s">
        <v>448</v>
      </c>
      <c r="D972" s="496" t="s">
        <v>1012</v>
      </c>
      <c r="E972" s="496" t="s">
        <v>1609</v>
      </c>
      <c r="F972" s="505">
        <f>'CCS Budget - Detailed'!H292</f>
        <v>5096</v>
      </c>
      <c r="G972" s="497" t="s">
        <v>448</v>
      </c>
    </row>
    <row r="973" spans="1:7" x14ac:dyDescent="0.2">
      <c r="A973" s="496" t="s">
        <v>2005</v>
      </c>
      <c r="B973" s="496" t="s">
        <v>580</v>
      </c>
      <c r="C973" s="496" t="s">
        <v>448</v>
      </c>
      <c r="D973" s="496" t="s">
        <v>2685</v>
      </c>
      <c r="E973" s="496" t="s">
        <v>1609</v>
      </c>
      <c r="F973" s="505">
        <f>'CCS Budget - Detailed'!H293</f>
        <v>6170</v>
      </c>
      <c r="G973" s="497" t="s">
        <v>448</v>
      </c>
    </row>
    <row r="974" spans="1:7" x14ac:dyDescent="0.2">
      <c r="A974" s="494" t="s">
        <v>2005</v>
      </c>
      <c r="B974" s="496" t="s">
        <v>580</v>
      </c>
      <c r="C974" s="496" t="s">
        <v>448</v>
      </c>
      <c r="D974" s="496" t="s">
        <v>1015</v>
      </c>
      <c r="E974" s="496" t="s">
        <v>1609</v>
      </c>
      <c r="F974" s="505">
        <f>'CCS Budget - Detailed'!H294</f>
        <v>10000</v>
      </c>
      <c r="G974" s="497" t="s">
        <v>448</v>
      </c>
    </row>
    <row r="975" spans="1:7" x14ac:dyDescent="0.2">
      <c r="A975" s="496" t="s">
        <v>2005</v>
      </c>
      <c r="B975" s="496" t="s">
        <v>580</v>
      </c>
      <c r="C975" s="496" t="s">
        <v>448</v>
      </c>
      <c r="D975" s="496" t="s">
        <v>1019</v>
      </c>
      <c r="E975" s="496" t="s">
        <v>1609</v>
      </c>
      <c r="F975" s="505">
        <f>'CCS Budget - Detailed'!H296</f>
        <v>3200</v>
      </c>
      <c r="G975" s="497" t="s">
        <v>448</v>
      </c>
    </row>
    <row r="976" spans="1:7" x14ac:dyDescent="0.2">
      <c r="A976" s="494" t="s">
        <v>2005</v>
      </c>
      <c r="B976" s="496" t="s">
        <v>580</v>
      </c>
      <c r="C976" s="496" t="s">
        <v>448</v>
      </c>
      <c r="D976" s="496" t="s">
        <v>1021</v>
      </c>
      <c r="E976" s="496" t="s">
        <v>1609</v>
      </c>
      <c r="F976" s="505">
        <f>'CCS Budget - Detailed'!H297</f>
        <v>6700</v>
      </c>
      <c r="G976" s="497" t="s">
        <v>448</v>
      </c>
    </row>
    <row r="977" spans="1:7" x14ac:dyDescent="0.2">
      <c r="A977" s="496" t="s">
        <v>2005</v>
      </c>
      <c r="B977" s="496" t="s">
        <v>580</v>
      </c>
      <c r="C977" s="496" t="s">
        <v>448</v>
      </c>
      <c r="D977" s="496" t="s">
        <v>1023</v>
      </c>
      <c r="E977" s="496" t="s">
        <v>1609</v>
      </c>
      <c r="F977" s="505">
        <f>'CCS Budget - Detailed'!H298</f>
        <v>0</v>
      </c>
      <c r="G977" s="497" t="s">
        <v>448</v>
      </c>
    </row>
    <row r="978" spans="1:7" x14ac:dyDescent="0.2">
      <c r="A978" s="494" t="s">
        <v>2005</v>
      </c>
      <c r="B978" s="496" t="s">
        <v>580</v>
      </c>
      <c r="C978" s="496" t="s">
        <v>448</v>
      </c>
      <c r="D978" s="496" t="s">
        <v>1025</v>
      </c>
      <c r="E978" s="496" t="s">
        <v>1609</v>
      </c>
      <c r="F978" s="505">
        <f>'CCS Budget - Detailed'!H299</f>
        <v>3100</v>
      </c>
      <c r="G978" s="497" t="s">
        <v>448</v>
      </c>
    </row>
    <row r="979" spans="1:7" x14ac:dyDescent="0.2">
      <c r="A979" s="496" t="s">
        <v>2005</v>
      </c>
      <c r="B979" s="496" t="s">
        <v>580</v>
      </c>
      <c r="C979" s="496" t="s">
        <v>448</v>
      </c>
      <c r="D979" s="496" t="s">
        <v>1027</v>
      </c>
      <c r="E979" s="496" t="s">
        <v>1609</v>
      </c>
      <c r="F979" s="505">
        <f>'CCS Budget - Detailed'!H300</f>
        <v>3000</v>
      </c>
      <c r="G979" s="497" t="s">
        <v>448</v>
      </c>
    </row>
    <row r="980" spans="1:7" x14ac:dyDescent="0.2">
      <c r="A980" s="494" t="s">
        <v>2005</v>
      </c>
      <c r="B980" s="496" t="s">
        <v>580</v>
      </c>
      <c r="C980" s="496" t="s">
        <v>448</v>
      </c>
      <c r="D980" s="496" t="s">
        <v>1029</v>
      </c>
      <c r="E980" s="496" t="s">
        <v>1609</v>
      </c>
      <c r="F980" s="505">
        <f>'CCS Budget - Detailed'!H301</f>
        <v>3000</v>
      </c>
      <c r="G980" s="497" t="s">
        <v>448</v>
      </c>
    </row>
    <row r="981" spans="1:7" x14ac:dyDescent="0.2">
      <c r="A981" s="496" t="s">
        <v>2005</v>
      </c>
      <c r="B981" s="496" t="s">
        <v>580</v>
      </c>
      <c r="C981" s="496" t="s">
        <v>448</v>
      </c>
      <c r="D981" s="496" t="s">
        <v>1031</v>
      </c>
      <c r="E981" s="496" t="s">
        <v>1609</v>
      </c>
      <c r="F981" s="505">
        <f>'CCS Budget - Detailed'!H302</f>
        <v>3000</v>
      </c>
      <c r="G981" s="497" t="s">
        <v>448</v>
      </c>
    </row>
    <row r="982" spans="1:7" x14ac:dyDescent="0.2">
      <c r="A982" s="496" t="s">
        <v>2005</v>
      </c>
      <c r="B982" s="496" t="s">
        <v>580</v>
      </c>
      <c r="C982" s="496" t="s">
        <v>448</v>
      </c>
      <c r="D982" s="496" t="s">
        <v>2528</v>
      </c>
      <c r="E982" s="496" t="s">
        <v>1609</v>
      </c>
      <c r="F982" s="505">
        <f>'CCS Budget - Detailed'!H333</f>
        <v>60000</v>
      </c>
      <c r="G982" s="497" t="s">
        <v>448</v>
      </c>
    </row>
    <row r="983" spans="1:7" x14ac:dyDescent="0.2">
      <c r="A983" s="494" t="s">
        <v>2005</v>
      </c>
      <c r="B983" s="496" t="s">
        <v>580</v>
      </c>
      <c r="C983" s="496" t="s">
        <v>448</v>
      </c>
      <c r="D983" s="496" t="s">
        <v>1034</v>
      </c>
      <c r="E983" s="496" t="s">
        <v>1609</v>
      </c>
      <c r="F983" s="505">
        <f>'CCS Budget - Detailed'!H306</f>
        <v>2700</v>
      </c>
      <c r="G983" s="497" t="s">
        <v>448</v>
      </c>
    </row>
    <row r="984" spans="1:7" x14ac:dyDescent="0.2">
      <c r="A984" s="496" t="s">
        <v>2005</v>
      </c>
      <c r="B984" s="496" t="s">
        <v>580</v>
      </c>
      <c r="C984" s="496" t="s">
        <v>448</v>
      </c>
      <c r="D984" s="496" t="s">
        <v>1040</v>
      </c>
      <c r="E984" s="496" t="s">
        <v>1609</v>
      </c>
      <c r="F984" s="505">
        <f>'CCS Budget - Detailed'!H309</f>
        <v>2500</v>
      </c>
      <c r="G984" s="497" t="s">
        <v>448</v>
      </c>
    </row>
    <row r="985" spans="1:7" x14ac:dyDescent="0.2">
      <c r="A985" s="494" t="s">
        <v>2005</v>
      </c>
      <c r="B985" s="496" t="s">
        <v>580</v>
      </c>
      <c r="C985" s="496" t="s">
        <v>448</v>
      </c>
      <c r="D985" s="496" t="s">
        <v>1042</v>
      </c>
      <c r="E985" s="496" t="s">
        <v>1609</v>
      </c>
      <c r="F985" s="505">
        <f>'CCS Budget - Detailed'!H310</f>
        <v>6000</v>
      </c>
      <c r="G985" s="497" t="s">
        <v>448</v>
      </c>
    </row>
    <row r="986" spans="1:7" x14ac:dyDescent="0.2">
      <c r="A986" s="496" t="s">
        <v>2005</v>
      </c>
      <c r="B986" s="496" t="s">
        <v>580</v>
      </c>
      <c r="C986" s="496" t="s">
        <v>448</v>
      </c>
      <c r="D986" s="496" t="s">
        <v>1045</v>
      </c>
      <c r="E986" s="496" t="s">
        <v>1609</v>
      </c>
      <c r="F986" s="505">
        <f>'CCS Budget - Detailed'!H313</f>
        <v>4000</v>
      </c>
      <c r="G986" s="497" t="s">
        <v>448</v>
      </c>
    </row>
    <row r="987" spans="1:7" x14ac:dyDescent="0.2">
      <c r="A987" s="494" t="s">
        <v>2005</v>
      </c>
      <c r="B987" s="496" t="s">
        <v>580</v>
      </c>
      <c r="C987" s="496" t="s">
        <v>448</v>
      </c>
      <c r="D987" s="496" t="s">
        <v>2261</v>
      </c>
      <c r="E987" s="496" t="s">
        <v>1609</v>
      </c>
      <c r="F987" s="505">
        <f>'CCS Budget - Detailed'!H314</f>
        <v>58</v>
      </c>
      <c r="G987" s="497" t="s">
        <v>448</v>
      </c>
    </row>
    <row r="988" spans="1:7" x14ac:dyDescent="0.2">
      <c r="A988" s="496" t="s">
        <v>2005</v>
      </c>
      <c r="B988" s="496" t="s">
        <v>580</v>
      </c>
      <c r="C988" s="496" t="s">
        <v>448</v>
      </c>
      <c r="D988" s="496" t="s">
        <v>1047</v>
      </c>
      <c r="E988" s="496" t="s">
        <v>1609</v>
      </c>
      <c r="F988" s="505">
        <f>'CCS Budget - Detailed'!H315</f>
        <v>816</v>
      </c>
      <c r="G988" s="497" t="s">
        <v>448</v>
      </c>
    </row>
    <row r="989" spans="1:7" x14ac:dyDescent="0.2">
      <c r="A989" s="494" t="s">
        <v>2005</v>
      </c>
      <c r="B989" s="496" t="s">
        <v>580</v>
      </c>
      <c r="C989" s="496" t="s">
        <v>448</v>
      </c>
      <c r="D989" s="496" t="s">
        <v>1999</v>
      </c>
      <c r="E989" s="496" t="s">
        <v>1609</v>
      </c>
      <c r="F989" s="505">
        <f>'CCS Budget - Detailed'!H316</f>
        <v>12</v>
      </c>
      <c r="G989" s="497" t="s">
        <v>448</v>
      </c>
    </row>
    <row r="990" spans="1:7" x14ac:dyDescent="0.2">
      <c r="A990" s="496" t="s">
        <v>2005</v>
      </c>
      <c r="B990" s="496" t="s">
        <v>580</v>
      </c>
      <c r="C990" s="496" t="s">
        <v>448</v>
      </c>
      <c r="D990" s="496" t="s">
        <v>1052</v>
      </c>
      <c r="E990" s="496" t="s">
        <v>1609</v>
      </c>
      <c r="F990" s="505">
        <f>'CCS Budget - Detailed'!H319</f>
        <v>34423</v>
      </c>
      <c r="G990" s="497" t="s">
        <v>448</v>
      </c>
    </row>
    <row r="991" spans="1:7" x14ac:dyDescent="0.2">
      <c r="A991" s="494" t="s">
        <v>2005</v>
      </c>
      <c r="B991" s="496" t="s">
        <v>580</v>
      </c>
      <c r="C991" s="496" t="s">
        <v>448</v>
      </c>
      <c r="D991" s="496" t="s">
        <v>2262</v>
      </c>
      <c r="E991" s="496" t="s">
        <v>1609</v>
      </c>
      <c r="F991" s="505">
        <f>'CCS Budget - Detailed'!H320</f>
        <v>103</v>
      </c>
      <c r="G991" s="497" t="s">
        <v>448</v>
      </c>
    </row>
    <row r="992" spans="1:7" x14ac:dyDescent="0.2">
      <c r="A992" s="496" t="s">
        <v>2005</v>
      </c>
      <c r="B992" s="496" t="s">
        <v>580</v>
      </c>
      <c r="C992" s="496" t="s">
        <v>448</v>
      </c>
      <c r="D992" s="496" t="s">
        <v>1054</v>
      </c>
      <c r="E992" s="496" t="s">
        <v>1609</v>
      </c>
      <c r="F992" s="505">
        <f>'CCS Budget - Detailed'!H321</f>
        <v>499</v>
      </c>
      <c r="G992" s="497" t="s">
        <v>448</v>
      </c>
    </row>
    <row r="993" spans="1:8" x14ac:dyDescent="0.2">
      <c r="A993" s="494" t="s">
        <v>2005</v>
      </c>
      <c r="B993" s="496" t="s">
        <v>580</v>
      </c>
      <c r="C993" s="496" t="s">
        <v>448</v>
      </c>
      <c r="D993" s="496" t="s">
        <v>1056</v>
      </c>
      <c r="E993" s="496" t="s">
        <v>1609</v>
      </c>
      <c r="F993" s="505">
        <f>'CCS Budget - Detailed'!H322</f>
        <v>7022</v>
      </c>
      <c r="G993" s="497" t="s">
        <v>448</v>
      </c>
    </row>
    <row r="994" spans="1:8" x14ac:dyDescent="0.2">
      <c r="A994" s="496" t="s">
        <v>2005</v>
      </c>
      <c r="B994" s="496" t="s">
        <v>580</v>
      </c>
      <c r="C994" s="496" t="s">
        <v>448</v>
      </c>
      <c r="D994" s="496" t="s">
        <v>1058</v>
      </c>
      <c r="E994" s="496" t="s">
        <v>1609</v>
      </c>
      <c r="F994" s="505">
        <f>'CCS Budget - Detailed'!H323</f>
        <v>6170</v>
      </c>
      <c r="G994" s="497" t="s">
        <v>448</v>
      </c>
    </row>
    <row r="995" spans="1:8" x14ac:dyDescent="0.2">
      <c r="A995" s="494" t="s">
        <v>2005</v>
      </c>
      <c r="B995" s="496" t="s">
        <v>580</v>
      </c>
      <c r="C995" s="496" t="s">
        <v>448</v>
      </c>
      <c r="D995" s="496" t="s">
        <v>1062</v>
      </c>
      <c r="E995" s="496" t="s">
        <v>1609</v>
      </c>
      <c r="F995" s="505">
        <f>'CCS Budget - Detailed'!H326</f>
        <v>5000</v>
      </c>
      <c r="G995" s="497" t="s">
        <v>448</v>
      </c>
    </row>
    <row r="996" spans="1:8" x14ac:dyDescent="0.2">
      <c r="A996" s="496" t="s">
        <v>2005</v>
      </c>
      <c r="B996" s="496" t="s">
        <v>580</v>
      </c>
      <c r="C996" s="496" t="s">
        <v>448</v>
      </c>
      <c r="D996" s="496" t="s">
        <v>1065</v>
      </c>
      <c r="E996" s="496" t="s">
        <v>1609</v>
      </c>
      <c r="F996" s="505">
        <f>'CCS Budget - Detailed'!H329</f>
        <v>30840</v>
      </c>
      <c r="G996" s="497" t="s">
        <v>448</v>
      </c>
    </row>
    <row r="997" spans="1:8" x14ac:dyDescent="0.2">
      <c r="A997" s="494" t="s">
        <v>2005</v>
      </c>
      <c r="B997" s="496" t="s">
        <v>580</v>
      </c>
      <c r="C997" s="496" t="s">
        <v>448</v>
      </c>
      <c r="D997" s="496" t="s">
        <v>1071</v>
      </c>
      <c r="E997" s="496" t="s">
        <v>1609</v>
      </c>
      <c r="F997" s="505">
        <f>'CCS Budget - Detailed'!H338</f>
        <v>754015</v>
      </c>
      <c r="G997" s="497" t="s">
        <v>448</v>
      </c>
    </row>
    <row r="998" spans="1:8" x14ac:dyDescent="0.2">
      <c r="A998" s="496" t="s">
        <v>2005</v>
      </c>
      <c r="B998" s="496" t="s">
        <v>580</v>
      </c>
      <c r="C998" s="496" t="s">
        <v>448</v>
      </c>
      <c r="D998" s="496" t="s">
        <v>1073</v>
      </c>
      <c r="E998" s="496" t="s">
        <v>1609</v>
      </c>
      <c r="F998" s="505">
        <f>'CCS Budget - Detailed'!H339</f>
        <v>72246</v>
      </c>
      <c r="G998" s="497" t="s">
        <v>448</v>
      </c>
      <c r="H998" s="507">
        <f>SUM(F815:F998)</f>
        <v>2239734</v>
      </c>
    </row>
    <row r="999" spans="1:8" x14ac:dyDescent="0.2">
      <c r="A999" s="494" t="s">
        <v>2005</v>
      </c>
      <c r="B999" s="496" t="s">
        <v>430</v>
      </c>
      <c r="C999" s="496" t="s">
        <v>448</v>
      </c>
      <c r="D999" s="496" t="s">
        <v>2264</v>
      </c>
      <c r="E999" s="496" t="s">
        <v>1587</v>
      </c>
      <c r="F999" s="505">
        <f>'CCS Budget - Detailed'!J349</f>
        <v>181947</v>
      </c>
      <c r="G999" s="497" t="s">
        <v>448</v>
      </c>
    </row>
    <row r="1000" spans="1:8" x14ac:dyDescent="0.2">
      <c r="A1000" s="496" t="s">
        <v>2005</v>
      </c>
      <c r="B1000" s="496" t="s">
        <v>430</v>
      </c>
      <c r="C1000" s="496" t="s">
        <v>448</v>
      </c>
      <c r="D1000" s="496" t="s">
        <v>2263</v>
      </c>
      <c r="E1000" s="496" t="s">
        <v>1587</v>
      </c>
      <c r="F1000" s="505">
        <f>'CCS Budget - Detailed'!J352+'CCS Budget - Detailed'!J351</f>
        <v>168465</v>
      </c>
      <c r="G1000" s="497" t="s">
        <v>448</v>
      </c>
    </row>
    <row r="1001" spans="1:8" x14ac:dyDescent="0.2">
      <c r="A1001" s="494" t="s">
        <v>2005</v>
      </c>
      <c r="B1001" s="496" t="s">
        <v>430</v>
      </c>
      <c r="C1001" s="496" t="s">
        <v>448</v>
      </c>
      <c r="D1001" s="496" t="s">
        <v>1083</v>
      </c>
      <c r="E1001" s="496" t="s">
        <v>1587</v>
      </c>
      <c r="F1001" s="505">
        <f>'CCS Budget - Detailed'!J353</f>
        <v>320</v>
      </c>
      <c r="G1001" s="497" t="s">
        <v>448</v>
      </c>
      <c r="H1001" s="506">
        <f>SUM(F999:F1001)</f>
        <v>350732</v>
      </c>
    </row>
    <row r="1002" spans="1:8" x14ac:dyDescent="0.2">
      <c r="A1002" s="494" t="s">
        <v>2005</v>
      </c>
      <c r="B1002" s="496" t="s">
        <v>430</v>
      </c>
      <c r="C1002" s="496" t="s">
        <v>448</v>
      </c>
      <c r="D1002" s="496" t="s">
        <v>2527</v>
      </c>
      <c r="E1002" s="496" t="s">
        <v>1609</v>
      </c>
      <c r="F1002" s="505">
        <f>'CCS Budget - Detailed'!J357</f>
        <v>30000</v>
      </c>
      <c r="G1002" s="497" t="s">
        <v>448</v>
      </c>
      <c r="H1002" s="506"/>
    </row>
    <row r="1003" spans="1:8" x14ac:dyDescent="0.2">
      <c r="A1003" s="494" t="s">
        <v>2005</v>
      </c>
      <c r="B1003" s="496" t="s">
        <v>430</v>
      </c>
      <c r="C1003" s="496" t="s">
        <v>448</v>
      </c>
      <c r="D1003" s="496" t="s">
        <v>1089</v>
      </c>
      <c r="E1003" s="496" t="s">
        <v>1609</v>
      </c>
      <c r="F1003" s="505">
        <f>'CCS Budget - Detailed'!J359</f>
        <v>80000</v>
      </c>
      <c r="G1003" s="497" t="s">
        <v>448</v>
      </c>
      <c r="H1003" s="506"/>
    </row>
    <row r="1004" spans="1:8" x14ac:dyDescent="0.2">
      <c r="A1004" s="494" t="s">
        <v>2005</v>
      </c>
      <c r="B1004" s="496" t="s">
        <v>430</v>
      </c>
      <c r="C1004" s="496" t="s">
        <v>448</v>
      </c>
      <c r="D1004" s="496" t="s">
        <v>1091</v>
      </c>
      <c r="E1004" s="496" t="s">
        <v>1609</v>
      </c>
      <c r="F1004" s="505">
        <f>'CCS Budget - Detailed'!J360</f>
        <v>28465</v>
      </c>
      <c r="G1004" s="497" t="s">
        <v>448</v>
      </c>
      <c r="H1004" s="506"/>
    </row>
    <row r="1005" spans="1:8" x14ac:dyDescent="0.2">
      <c r="A1005" s="494" t="s">
        <v>2005</v>
      </c>
      <c r="B1005" s="496" t="s">
        <v>430</v>
      </c>
      <c r="C1005" s="496" t="s">
        <v>448</v>
      </c>
      <c r="D1005" s="496" t="s">
        <v>1092</v>
      </c>
      <c r="E1005" s="496" t="s">
        <v>1609</v>
      </c>
      <c r="F1005" s="505">
        <f>'CCS Budget - Detailed'!J361</f>
        <v>30000</v>
      </c>
      <c r="G1005" s="497" t="s">
        <v>448</v>
      </c>
      <c r="H1005" s="506"/>
    </row>
    <row r="1006" spans="1:8" x14ac:dyDescent="0.2">
      <c r="A1006" s="496" t="s">
        <v>2005</v>
      </c>
      <c r="B1006" s="496" t="s">
        <v>430</v>
      </c>
      <c r="C1006" s="496" t="s">
        <v>448</v>
      </c>
      <c r="D1006" s="496" t="s">
        <v>2265</v>
      </c>
      <c r="E1006" s="496" t="s">
        <v>1609</v>
      </c>
      <c r="F1006" s="505">
        <f>'CCS Budget - Detailed'!J366</f>
        <v>182267</v>
      </c>
      <c r="G1006" s="497" t="s">
        <v>448</v>
      </c>
      <c r="H1006" s="506">
        <f>SUM(F1002:F1006)</f>
        <v>350732</v>
      </c>
    </row>
    <row r="1007" spans="1:8" x14ac:dyDescent="0.2">
      <c r="A1007" s="494" t="s">
        <v>2005</v>
      </c>
      <c r="B1007" s="496" t="s">
        <v>2335</v>
      </c>
      <c r="C1007" s="496" t="s">
        <v>448</v>
      </c>
      <c r="D1007" s="496" t="s">
        <v>2686</v>
      </c>
      <c r="E1007" s="496" t="s">
        <v>1587</v>
      </c>
      <c r="F1007" s="505">
        <f>'CCS Budget - Detailed'!J376</f>
        <v>19954</v>
      </c>
      <c r="G1007" s="497" t="s">
        <v>448</v>
      </c>
    </row>
    <row r="1008" spans="1:8" x14ac:dyDescent="0.2">
      <c r="A1008" s="494" t="s">
        <v>2005</v>
      </c>
      <c r="B1008" s="496" t="s">
        <v>2335</v>
      </c>
      <c r="C1008" s="496" t="s">
        <v>448</v>
      </c>
      <c r="D1008" s="496" t="s">
        <v>2687</v>
      </c>
      <c r="E1008" s="496" t="s">
        <v>1587</v>
      </c>
      <c r="F1008" s="505">
        <f>'CCS Budget - Detailed'!J378</f>
        <v>100000</v>
      </c>
      <c r="G1008" s="497" t="s">
        <v>448</v>
      </c>
    </row>
    <row r="1009" spans="1:8" x14ac:dyDescent="0.2">
      <c r="A1009" s="496" t="s">
        <v>2005</v>
      </c>
      <c r="B1009" s="496" t="s">
        <v>2335</v>
      </c>
      <c r="C1009" s="496" t="s">
        <v>448</v>
      </c>
      <c r="D1009" s="496" t="s">
        <v>2688</v>
      </c>
      <c r="E1009" s="496" t="s">
        <v>1587</v>
      </c>
      <c r="F1009" s="505">
        <f>'CCS Budget - Detailed'!J379</f>
        <v>47</v>
      </c>
      <c r="G1009" s="497" t="s">
        <v>448</v>
      </c>
      <c r="H1009" s="508">
        <f>SUM(F1007:F1009)</f>
        <v>120001</v>
      </c>
    </row>
    <row r="1010" spans="1:8" x14ac:dyDescent="0.2">
      <c r="A1010" s="494" t="s">
        <v>2005</v>
      </c>
      <c r="B1010" s="496" t="s">
        <v>2335</v>
      </c>
      <c r="C1010" s="496" t="s">
        <v>448</v>
      </c>
      <c r="D1010" s="496" t="s">
        <v>2689</v>
      </c>
      <c r="E1010" s="496" t="s">
        <v>1609</v>
      </c>
      <c r="F1010" s="505">
        <f>'CCS Budget - Detailed'!J383</f>
        <v>100000</v>
      </c>
      <c r="G1010" s="497" t="s">
        <v>448</v>
      </c>
    </row>
    <row r="1011" spans="1:8" x14ac:dyDescent="0.2">
      <c r="A1011" s="494" t="s">
        <v>2005</v>
      </c>
      <c r="B1011" s="496" t="s">
        <v>2335</v>
      </c>
      <c r="C1011" s="496" t="s">
        <v>448</v>
      </c>
      <c r="D1011" s="496" t="s">
        <v>2690</v>
      </c>
      <c r="E1011" s="496" t="s">
        <v>1609</v>
      </c>
      <c r="F1011" s="505">
        <f>'CCS Budget - Detailed'!J384</f>
        <v>20001</v>
      </c>
      <c r="G1011" s="497" t="s">
        <v>448</v>
      </c>
      <c r="H1011" s="508">
        <f>SUM(F1010:F1011)</f>
        <v>120001</v>
      </c>
    </row>
    <row r="1021" spans="1:8" x14ac:dyDescent="0.2">
      <c r="D1021" s="496" t="s">
        <v>448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0"/>
  <sheetViews>
    <sheetView zoomScale="145" zoomScaleNormal="145" workbookViewId="0">
      <selection activeCell="E13" sqref="E13"/>
    </sheetView>
  </sheetViews>
  <sheetFormatPr defaultColWidth="13.42578125" defaultRowHeight="11.25" x14ac:dyDescent="0.2"/>
  <cols>
    <col min="1" max="1" width="10.28515625" style="496" bestFit="1" customWidth="1"/>
    <col min="2" max="2" width="23.7109375" style="496" customWidth="1"/>
    <col min="3" max="3" width="31.5703125" style="496" customWidth="1"/>
    <col min="4" max="251" width="13.42578125" style="497"/>
    <col min="252" max="252" width="10.28515625" style="497" bestFit="1" customWidth="1"/>
    <col min="253" max="253" width="16.7109375" style="497" bestFit="1" customWidth="1"/>
    <col min="254" max="254" width="17.5703125" style="497" bestFit="1" customWidth="1"/>
    <col min="255" max="255" width="23.7109375" style="497" customWidth="1"/>
    <col min="256" max="256" width="26" style="497" customWidth="1"/>
    <col min="257" max="257" width="8" style="497" bestFit="1" customWidth="1"/>
    <col min="258" max="258" width="18.140625" style="497" bestFit="1" customWidth="1"/>
    <col min="259" max="259" width="10.5703125" style="497" bestFit="1" customWidth="1"/>
    <col min="260" max="507" width="13.42578125" style="497"/>
    <col min="508" max="508" width="10.28515625" style="497" bestFit="1" customWidth="1"/>
    <col min="509" max="509" width="16.7109375" style="497" bestFit="1" customWidth="1"/>
    <col min="510" max="510" width="17.5703125" style="497" bestFit="1" customWidth="1"/>
    <col min="511" max="511" width="23.7109375" style="497" customWidth="1"/>
    <col min="512" max="512" width="26" style="497" customWidth="1"/>
    <col min="513" max="513" width="8" style="497" bestFit="1" customWidth="1"/>
    <col min="514" max="514" width="18.140625" style="497" bestFit="1" customWidth="1"/>
    <col min="515" max="515" width="10.5703125" style="497" bestFit="1" customWidth="1"/>
    <col min="516" max="763" width="13.42578125" style="497"/>
    <col min="764" max="764" width="10.28515625" style="497" bestFit="1" customWidth="1"/>
    <col min="765" max="765" width="16.7109375" style="497" bestFit="1" customWidth="1"/>
    <col min="766" max="766" width="17.5703125" style="497" bestFit="1" customWidth="1"/>
    <col min="767" max="767" width="23.7109375" style="497" customWidth="1"/>
    <col min="768" max="768" width="26" style="497" customWidth="1"/>
    <col min="769" max="769" width="8" style="497" bestFit="1" customWidth="1"/>
    <col min="770" max="770" width="18.140625" style="497" bestFit="1" customWidth="1"/>
    <col min="771" max="771" width="10.5703125" style="497" bestFit="1" customWidth="1"/>
    <col min="772" max="1019" width="13.42578125" style="497"/>
    <col min="1020" max="1020" width="10.28515625" style="497" bestFit="1" customWidth="1"/>
    <col min="1021" max="1021" width="16.7109375" style="497" bestFit="1" customWidth="1"/>
    <col min="1022" max="1022" width="17.5703125" style="497" bestFit="1" customWidth="1"/>
    <col min="1023" max="1023" width="23.7109375" style="497" customWidth="1"/>
    <col min="1024" max="1024" width="26" style="497" customWidth="1"/>
    <col min="1025" max="1025" width="8" style="497" bestFit="1" customWidth="1"/>
    <col min="1026" max="1026" width="18.140625" style="497" bestFit="1" customWidth="1"/>
    <col min="1027" max="1027" width="10.5703125" style="497" bestFit="1" customWidth="1"/>
    <col min="1028" max="1275" width="13.42578125" style="497"/>
    <col min="1276" max="1276" width="10.28515625" style="497" bestFit="1" customWidth="1"/>
    <col min="1277" max="1277" width="16.7109375" style="497" bestFit="1" customWidth="1"/>
    <col min="1278" max="1278" width="17.5703125" style="497" bestFit="1" customWidth="1"/>
    <col min="1279" max="1279" width="23.7109375" style="497" customWidth="1"/>
    <col min="1280" max="1280" width="26" style="497" customWidth="1"/>
    <col min="1281" max="1281" width="8" style="497" bestFit="1" customWidth="1"/>
    <col min="1282" max="1282" width="18.140625" style="497" bestFit="1" customWidth="1"/>
    <col min="1283" max="1283" width="10.5703125" style="497" bestFit="1" customWidth="1"/>
    <col min="1284" max="1531" width="13.42578125" style="497"/>
    <col min="1532" max="1532" width="10.28515625" style="497" bestFit="1" customWidth="1"/>
    <col min="1533" max="1533" width="16.7109375" style="497" bestFit="1" customWidth="1"/>
    <col min="1534" max="1534" width="17.5703125" style="497" bestFit="1" customWidth="1"/>
    <col min="1535" max="1535" width="23.7109375" style="497" customWidth="1"/>
    <col min="1536" max="1536" width="26" style="497" customWidth="1"/>
    <col min="1537" max="1537" width="8" style="497" bestFit="1" customWidth="1"/>
    <col min="1538" max="1538" width="18.140625" style="497" bestFit="1" customWidth="1"/>
    <col min="1539" max="1539" width="10.5703125" style="497" bestFit="1" customWidth="1"/>
    <col min="1540" max="1787" width="13.42578125" style="497"/>
    <col min="1788" max="1788" width="10.28515625" style="497" bestFit="1" customWidth="1"/>
    <col min="1789" max="1789" width="16.7109375" style="497" bestFit="1" customWidth="1"/>
    <col min="1790" max="1790" width="17.5703125" style="497" bestFit="1" customWidth="1"/>
    <col min="1791" max="1791" width="23.7109375" style="497" customWidth="1"/>
    <col min="1792" max="1792" width="26" style="497" customWidth="1"/>
    <col min="1793" max="1793" width="8" style="497" bestFit="1" customWidth="1"/>
    <col min="1794" max="1794" width="18.140625" style="497" bestFit="1" customWidth="1"/>
    <col min="1795" max="1795" width="10.5703125" style="497" bestFit="1" customWidth="1"/>
    <col min="1796" max="2043" width="13.42578125" style="497"/>
    <col min="2044" max="2044" width="10.28515625" style="497" bestFit="1" customWidth="1"/>
    <col min="2045" max="2045" width="16.7109375" style="497" bestFit="1" customWidth="1"/>
    <col min="2046" max="2046" width="17.5703125" style="497" bestFit="1" customWidth="1"/>
    <col min="2047" max="2047" width="23.7109375" style="497" customWidth="1"/>
    <col min="2048" max="2048" width="26" style="497" customWidth="1"/>
    <col min="2049" max="2049" width="8" style="497" bestFit="1" customWidth="1"/>
    <col min="2050" max="2050" width="18.140625" style="497" bestFit="1" customWidth="1"/>
    <col min="2051" max="2051" width="10.5703125" style="497" bestFit="1" customWidth="1"/>
    <col min="2052" max="2299" width="13.42578125" style="497"/>
    <col min="2300" max="2300" width="10.28515625" style="497" bestFit="1" customWidth="1"/>
    <col min="2301" max="2301" width="16.7109375" style="497" bestFit="1" customWidth="1"/>
    <col min="2302" max="2302" width="17.5703125" style="497" bestFit="1" customWidth="1"/>
    <col min="2303" max="2303" width="23.7109375" style="497" customWidth="1"/>
    <col min="2304" max="2304" width="26" style="497" customWidth="1"/>
    <col min="2305" max="2305" width="8" style="497" bestFit="1" customWidth="1"/>
    <col min="2306" max="2306" width="18.140625" style="497" bestFit="1" customWidth="1"/>
    <col min="2307" max="2307" width="10.5703125" style="497" bestFit="1" customWidth="1"/>
    <col min="2308" max="2555" width="13.42578125" style="497"/>
    <col min="2556" max="2556" width="10.28515625" style="497" bestFit="1" customWidth="1"/>
    <col min="2557" max="2557" width="16.7109375" style="497" bestFit="1" customWidth="1"/>
    <col min="2558" max="2558" width="17.5703125" style="497" bestFit="1" customWidth="1"/>
    <col min="2559" max="2559" width="23.7109375" style="497" customWidth="1"/>
    <col min="2560" max="2560" width="26" style="497" customWidth="1"/>
    <col min="2561" max="2561" width="8" style="497" bestFit="1" customWidth="1"/>
    <col min="2562" max="2562" width="18.140625" style="497" bestFit="1" customWidth="1"/>
    <col min="2563" max="2563" width="10.5703125" style="497" bestFit="1" customWidth="1"/>
    <col min="2564" max="2811" width="13.42578125" style="497"/>
    <col min="2812" max="2812" width="10.28515625" style="497" bestFit="1" customWidth="1"/>
    <col min="2813" max="2813" width="16.7109375" style="497" bestFit="1" customWidth="1"/>
    <col min="2814" max="2814" width="17.5703125" style="497" bestFit="1" customWidth="1"/>
    <col min="2815" max="2815" width="23.7109375" style="497" customWidth="1"/>
    <col min="2816" max="2816" width="26" style="497" customWidth="1"/>
    <col min="2817" max="2817" width="8" style="497" bestFit="1" customWidth="1"/>
    <col min="2818" max="2818" width="18.140625" style="497" bestFit="1" customWidth="1"/>
    <col min="2819" max="2819" width="10.5703125" style="497" bestFit="1" customWidth="1"/>
    <col min="2820" max="3067" width="13.42578125" style="497"/>
    <col min="3068" max="3068" width="10.28515625" style="497" bestFit="1" customWidth="1"/>
    <col min="3069" max="3069" width="16.7109375" style="497" bestFit="1" customWidth="1"/>
    <col min="3070" max="3070" width="17.5703125" style="497" bestFit="1" customWidth="1"/>
    <col min="3071" max="3071" width="23.7109375" style="497" customWidth="1"/>
    <col min="3072" max="3072" width="26" style="497" customWidth="1"/>
    <col min="3073" max="3073" width="8" style="497" bestFit="1" customWidth="1"/>
    <col min="3074" max="3074" width="18.140625" style="497" bestFit="1" customWidth="1"/>
    <col min="3075" max="3075" width="10.5703125" style="497" bestFit="1" customWidth="1"/>
    <col min="3076" max="3323" width="13.42578125" style="497"/>
    <col min="3324" max="3324" width="10.28515625" style="497" bestFit="1" customWidth="1"/>
    <col min="3325" max="3325" width="16.7109375" style="497" bestFit="1" customWidth="1"/>
    <col min="3326" max="3326" width="17.5703125" style="497" bestFit="1" customWidth="1"/>
    <col min="3327" max="3327" width="23.7109375" style="497" customWidth="1"/>
    <col min="3328" max="3328" width="26" style="497" customWidth="1"/>
    <col min="3329" max="3329" width="8" style="497" bestFit="1" customWidth="1"/>
    <col min="3330" max="3330" width="18.140625" style="497" bestFit="1" customWidth="1"/>
    <col min="3331" max="3331" width="10.5703125" style="497" bestFit="1" customWidth="1"/>
    <col min="3332" max="3579" width="13.42578125" style="497"/>
    <col min="3580" max="3580" width="10.28515625" style="497" bestFit="1" customWidth="1"/>
    <col min="3581" max="3581" width="16.7109375" style="497" bestFit="1" customWidth="1"/>
    <col min="3582" max="3582" width="17.5703125" style="497" bestFit="1" customWidth="1"/>
    <col min="3583" max="3583" width="23.7109375" style="497" customWidth="1"/>
    <col min="3584" max="3584" width="26" style="497" customWidth="1"/>
    <col min="3585" max="3585" width="8" style="497" bestFit="1" customWidth="1"/>
    <col min="3586" max="3586" width="18.140625" style="497" bestFit="1" customWidth="1"/>
    <col min="3587" max="3587" width="10.5703125" style="497" bestFit="1" customWidth="1"/>
    <col min="3588" max="3835" width="13.42578125" style="497"/>
    <col min="3836" max="3836" width="10.28515625" style="497" bestFit="1" customWidth="1"/>
    <col min="3837" max="3837" width="16.7109375" style="497" bestFit="1" customWidth="1"/>
    <col min="3838" max="3838" width="17.5703125" style="497" bestFit="1" customWidth="1"/>
    <col min="3839" max="3839" width="23.7109375" style="497" customWidth="1"/>
    <col min="3840" max="3840" width="26" style="497" customWidth="1"/>
    <col min="3841" max="3841" width="8" style="497" bestFit="1" customWidth="1"/>
    <col min="3842" max="3842" width="18.140625" style="497" bestFit="1" customWidth="1"/>
    <col min="3843" max="3843" width="10.5703125" style="497" bestFit="1" customWidth="1"/>
    <col min="3844" max="4091" width="13.42578125" style="497"/>
    <col min="4092" max="4092" width="10.28515625" style="497" bestFit="1" customWidth="1"/>
    <col min="4093" max="4093" width="16.7109375" style="497" bestFit="1" customWidth="1"/>
    <col min="4094" max="4094" width="17.5703125" style="497" bestFit="1" customWidth="1"/>
    <col min="4095" max="4095" width="23.7109375" style="497" customWidth="1"/>
    <col min="4096" max="4096" width="26" style="497" customWidth="1"/>
    <col min="4097" max="4097" width="8" style="497" bestFit="1" customWidth="1"/>
    <col min="4098" max="4098" width="18.140625" style="497" bestFit="1" customWidth="1"/>
    <col min="4099" max="4099" width="10.5703125" style="497" bestFit="1" customWidth="1"/>
    <col min="4100" max="4347" width="13.42578125" style="497"/>
    <col min="4348" max="4348" width="10.28515625" style="497" bestFit="1" customWidth="1"/>
    <col min="4349" max="4349" width="16.7109375" style="497" bestFit="1" customWidth="1"/>
    <col min="4350" max="4350" width="17.5703125" style="497" bestFit="1" customWidth="1"/>
    <col min="4351" max="4351" width="23.7109375" style="497" customWidth="1"/>
    <col min="4352" max="4352" width="26" style="497" customWidth="1"/>
    <col min="4353" max="4353" width="8" style="497" bestFit="1" customWidth="1"/>
    <col min="4354" max="4354" width="18.140625" style="497" bestFit="1" customWidth="1"/>
    <col min="4355" max="4355" width="10.5703125" style="497" bestFit="1" customWidth="1"/>
    <col min="4356" max="4603" width="13.42578125" style="497"/>
    <col min="4604" max="4604" width="10.28515625" style="497" bestFit="1" customWidth="1"/>
    <col min="4605" max="4605" width="16.7109375" style="497" bestFit="1" customWidth="1"/>
    <col min="4606" max="4606" width="17.5703125" style="497" bestFit="1" customWidth="1"/>
    <col min="4607" max="4607" width="23.7109375" style="497" customWidth="1"/>
    <col min="4608" max="4608" width="26" style="497" customWidth="1"/>
    <col min="4609" max="4609" width="8" style="497" bestFit="1" customWidth="1"/>
    <col min="4610" max="4610" width="18.140625" style="497" bestFit="1" customWidth="1"/>
    <col min="4611" max="4611" width="10.5703125" style="497" bestFit="1" customWidth="1"/>
    <col min="4612" max="4859" width="13.42578125" style="497"/>
    <col min="4860" max="4860" width="10.28515625" style="497" bestFit="1" customWidth="1"/>
    <col min="4861" max="4861" width="16.7109375" style="497" bestFit="1" customWidth="1"/>
    <col min="4862" max="4862" width="17.5703125" style="497" bestFit="1" customWidth="1"/>
    <col min="4863" max="4863" width="23.7109375" style="497" customWidth="1"/>
    <col min="4864" max="4864" width="26" style="497" customWidth="1"/>
    <col min="4865" max="4865" width="8" style="497" bestFit="1" customWidth="1"/>
    <col min="4866" max="4866" width="18.140625" style="497" bestFit="1" customWidth="1"/>
    <col min="4867" max="4867" width="10.5703125" style="497" bestFit="1" customWidth="1"/>
    <col min="4868" max="5115" width="13.42578125" style="497"/>
    <col min="5116" max="5116" width="10.28515625" style="497" bestFit="1" customWidth="1"/>
    <col min="5117" max="5117" width="16.7109375" style="497" bestFit="1" customWidth="1"/>
    <col min="5118" max="5118" width="17.5703125" style="497" bestFit="1" customWidth="1"/>
    <col min="5119" max="5119" width="23.7109375" style="497" customWidth="1"/>
    <col min="5120" max="5120" width="26" style="497" customWidth="1"/>
    <col min="5121" max="5121" width="8" style="497" bestFit="1" customWidth="1"/>
    <col min="5122" max="5122" width="18.140625" style="497" bestFit="1" customWidth="1"/>
    <col min="5123" max="5123" width="10.5703125" style="497" bestFit="1" customWidth="1"/>
    <col min="5124" max="5371" width="13.42578125" style="497"/>
    <col min="5372" max="5372" width="10.28515625" style="497" bestFit="1" customWidth="1"/>
    <col min="5373" max="5373" width="16.7109375" style="497" bestFit="1" customWidth="1"/>
    <col min="5374" max="5374" width="17.5703125" style="497" bestFit="1" customWidth="1"/>
    <col min="5375" max="5375" width="23.7109375" style="497" customWidth="1"/>
    <col min="5376" max="5376" width="26" style="497" customWidth="1"/>
    <col min="5377" max="5377" width="8" style="497" bestFit="1" customWidth="1"/>
    <col min="5378" max="5378" width="18.140625" style="497" bestFit="1" customWidth="1"/>
    <col min="5379" max="5379" width="10.5703125" style="497" bestFit="1" customWidth="1"/>
    <col min="5380" max="5627" width="13.42578125" style="497"/>
    <col min="5628" max="5628" width="10.28515625" style="497" bestFit="1" customWidth="1"/>
    <col min="5629" max="5629" width="16.7109375" style="497" bestFit="1" customWidth="1"/>
    <col min="5630" max="5630" width="17.5703125" style="497" bestFit="1" customWidth="1"/>
    <col min="5631" max="5631" width="23.7109375" style="497" customWidth="1"/>
    <col min="5632" max="5632" width="26" style="497" customWidth="1"/>
    <col min="5633" max="5633" width="8" style="497" bestFit="1" customWidth="1"/>
    <col min="5634" max="5634" width="18.140625" style="497" bestFit="1" customWidth="1"/>
    <col min="5635" max="5635" width="10.5703125" style="497" bestFit="1" customWidth="1"/>
    <col min="5636" max="5883" width="13.42578125" style="497"/>
    <col min="5884" max="5884" width="10.28515625" style="497" bestFit="1" customWidth="1"/>
    <col min="5885" max="5885" width="16.7109375" style="497" bestFit="1" customWidth="1"/>
    <col min="5886" max="5886" width="17.5703125" style="497" bestFit="1" customWidth="1"/>
    <col min="5887" max="5887" width="23.7109375" style="497" customWidth="1"/>
    <col min="5888" max="5888" width="26" style="497" customWidth="1"/>
    <col min="5889" max="5889" width="8" style="497" bestFit="1" customWidth="1"/>
    <col min="5890" max="5890" width="18.140625" style="497" bestFit="1" customWidth="1"/>
    <col min="5891" max="5891" width="10.5703125" style="497" bestFit="1" customWidth="1"/>
    <col min="5892" max="6139" width="13.42578125" style="497"/>
    <col min="6140" max="6140" width="10.28515625" style="497" bestFit="1" customWidth="1"/>
    <col min="6141" max="6141" width="16.7109375" style="497" bestFit="1" customWidth="1"/>
    <col min="6142" max="6142" width="17.5703125" style="497" bestFit="1" customWidth="1"/>
    <col min="6143" max="6143" width="23.7109375" style="497" customWidth="1"/>
    <col min="6144" max="6144" width="26" style="497" customWidth="1"/>
    <col min="6145" max="6145" width="8" style="497" bestFit="1" customWidth="1"/>
    <col min="6146" max="6146" width="18.140625" style="497" bestFit="1" customWidth="1"/>
    <col min="6147" max="6147" width="10.5703125" style="497" bestFit="1" customWidth="1"/>
    <col min="6148" max="6395" width="13.42578125" style="497"/>
    <col min="6396" max="6396" width="10.28515625" style="497" bestFit="1" customWidth="1"/>
    <col min="6397" max="6397" width="16.7109375" style="497" bestFit="1" customWidth="1"/>
    <col min="6398" max="6398" width="17.5703125" style="497" bestFit="1" customWidth="1"/>
    <col min="6399" max="6399" width="23.7109375" style="497" customWidth="1"/>
    <col min="6400" max="6400" width="26" style="497" customWidth="1"/>
    <col min="6401" max="6401" width="8" style="497" bestFit="1" customWidth="1"/>
    <col min="6402" max="6402" width="18.140625" style="497" bestFit="1" customWidth="1"/>
    <col min="6403" max="6403" width="10.5703125" style="497" bestFit="1" customWidth="1"/>
    <col min="6404" max="6651" width="13.42578125" style="497"/>
    <col min="6652" max="6652" width="10.28515625" style="497" bestFit="1" customWidth="1"/>
    <col min="6653" max="6653" width="16.7109375" style="497" bestFit="1" customWidth="1"/>
    <col min="6654" max="6654" width="17.5703125" style="497" bestFit="1" customWidth="1"/>
    <col min="6655" max="6655" width="23.7109375" style="497" customWidth="1"/>
    <col min="6656" max="6656" width="26" style="497" customWidth="1"/>
    <col min="6657" max="6657" width="8" style="497" bestFit="1" customWidth="1"/>
    <col min="6658" max="6658" width="18.140625" style="497" bestFit="1" customWidth="1"/>
    <col min="6659" max="6659" width="10.5703125" style="497" bestFit="1" customWidth="1"/>
    <col min="6660" max="6907" width="13.42578125" style="497"/>
    <col min="6908" max="6908" width="10.28515625" style="497" bestFit="1" customWidth="1"/>
    <col min="6909" max="6909" width="16.7109375" style="497" bestFit="1" customWidth="1"/>
    <col min="6910" max="6910" width="17.5703125" style="497" bestFit="1" customWidth="1"/>
    <col min="6911" max="6911" width="23.7109375" style="497" customWidth="1"/>
    <col min="6912" max="6912" width="26" style="497" customWidth="1"/>
    <col min="6913" max="6913" width="8" style="497" bestFit="1" customWidth="1"/>
    <col min="6914" max="6914" width="18.140625" style="497" bestFit="1" customWidth="1"/>
    <col min="6915" max="6915" width="10.5703125" style="497" bestFit="1" customWidth="1"/>
    <col min="6916" max="7163" width="13.42578125" style="497"/>
    <col min="7164" max="7164" width="10.28515625" style="497" bestFit="1" customWidth="1"/>
    <col min="7165" max="7165" width="16.7109375" style="497" bestFit="1" customWidth="1"/>
    <col min="7166" max="7166" width="17.5703125" style="497" bestFit="1" customWidth="1"/>
    <col min="7167" max="7167" width="23.7109375" style="497" customWidth="1"/>
    <col min="7168" max="7168" width="26" style="497" customWidth="1"/>
    <col min="7169" max="7169" width="8" style="497" bestFit="1" customWidth="1"/>
    <col min="7170" max="7170" width="18.140625" style="497" bestFit="1" customWidth="1"/>
    <col min="7171" max="7171" width="10.5703125" style="497" bestFit="1" customWidth="1"/>
    <col min="7172" max="7419" width="13.42578125" style="497"/>
    <col min="7420" max="7420" width="10.28515625" style="497" bestFit="1" customWidth="1"/>
    <col min="7421" max="7421" width="16.7109375" style="497" bestFit="1" customWidth="1"/>
    <col min="7422" max="7422" width="17.5703125" style="497" bestFit="1" customWidth="1"/>
    <col min="7423" max="7423" width="23.7109375" style="497" customWidth="1"/>
    <col min="7424" max="7424" width="26" style="497" customWidth="1"/>
    <col min="7425" max="7425" width="8" style="497" bestFit="1" customWidth="1"/>
    <col min="7426" max="7426" width="18.140625" style="497" bestFit="1" customWidth="1"/>
    <col min="7427" max="7427" width="10.5703125" style="497" bestFit="1" customWidth="1"/>
    <col min="7428" max="7675" width="13.42578125" style="497"/>
    <col min="7676" max="7676" width="10.28515625" style="497" bestFit="1" customWidth="1"/>
    <col min="7677" max="7677" width="16.7109375" style="497" bestFit="1" customWidth="1"/>
    <col min="7678" max="7678" width="17.5703125" style="497" bestFit="1" customWidth="1"/>
    <col min="7679" max="7679" width="23.7109375" style="497" customWidth="1"/>
    <col min="7680" max="7680" width="26" style="497" customWidth="1"/>
    <col min="7681" max="7681" width="8" style="497" bestFit="1" customWidth="1"/>
    <col min="7682" max="7682" width="18.140625" style="497" bestFit="1" customWidth="1"/>
    <col min="7683" max="7683" width="10.5703125" style="497" bestFit="1" customWidth="1"/>
    <col min="7684" max="7931" width="13.42578125" style="497"/>
    <col min="7932" max="7932" width="10.28515625" style="497" bestFit="1" customWidth="1"/>
    <col min="7933" max="7933" width="16.7109375" style="497" bestFit="1" customWidth="1"/>
    <col min="7934" max="7934" width="17.5703125" style="497" bestFit="1" customWidth="1"/>
    <col min="7935" max="7935" width="23.7109375" style="497" customWidth="1"/>
    <col min="7936" max="7936" width="26" style="497" customWidth="1"/>
    <col min="7937" max="7937" width="8" style="497" bestFit="1" customWidth="1"/>
    <col min="7938" max="7938" width="18.140625" style="497" bestFit="1" customWidth="1"/>
    <col min="7939" max="7939" width="10.5703125" style="497" bestFit="1" customWidth="1"/>
    <col min="7940" max="8187" width="13.42578125" style="497"/>
    <col min="8188" max="8188" width="10.28515625" style="497" bestFit="1" customWidth="1"/>
    <col min="8189" max="8189" width="16.7109375" style="497" bestFit="1" customWidth="1"/>
    <col min="8190" max="8190" width="17.5703125" style="497" bestFit="1" customWidth="1"/>
    <col min="8191" max="8191" width="23.7109375" style="497" customWidth="1"/>
    <col min="8192" max="8192" width="26" style="497" customWidth="1"/>
    <col min="8193" max="8193" width="8" style="497" bestFit="1" customWidth="1"/>
    <col min="8194" max="8194" width="18.140625" style="497" bestFit="1" customWidth="1"/>
    <col min="8195" max="8195" width="10.5703125" style="497" bestFit="1" customWidth="1"/>
    <col min="8196" max="8443" width="13.42578125" style="497"/>
    <col min="8444" max="8444" width="10.28515625" style="497" bestFit="1" customWidth="1"/>
    <col min="8445" max="8445" width="16.7109375" style="497" bestFit="1" customWidth="1"/>
    <col min="8446" max="8446" width="17.5703125" style="497" bestFit="1" customWidth="1"/>
    <col min="8447" max="8447" width="23.7109375" style="497" customWidth="1"/>
    <col min="8448" max="8448" width="26" style="497" customWidth="1"/>
    <col min="8449" max="8449" width="8" style="497" bestFit="1" customWidth="1"/>
    <col min="8450" max="8450" width="18.140625" style="497" bestFit="1" customWidth="1"/>
    <col min="8451" max="8451" width="10.5703125" style="497" bestFit="1" customWidth="1"/>
    <col min="8452" max="8699" width="13.42578125" style="497"/>
    <col min="8700" max="8700" width="10.28515625" style="497" bestFit="1" customWidth="1"/>
    <col min="8701" max="8701" width="16.7109375" style="497" bestFit="1" customWidth="1"/>
    <col min="8702" max="8702" width="17.5703125" style="497" bestFit="1" customWidth="1"/>
    <col min="8703" max="8703" width="23.7109375" style="497" customWidth="1"/>
    <col min="8704" max="8704" width="26" style="497" customWidth="1"/>
    <col min="8705" max="8705" width="8" style="497" bestFit="1" customWidth="1"/>
    <col min="8706" max="8706" width="18.140625" style="497" bestFit="1" customWidth="1"/>
    <col min="8707" max="8707" width="10.5703125" style="497" bestFit="1" customWidth="1"/>
    <col min="8708" max="8955" width="13.42578125" style="497"/>
    <col min="8956" max="8956" width="10.28515625" style="497" bestFit="1" customWidth="1"/>
    <col min="8957" max="8957" width="16.7109375" style="497" bestFit="1" customWidth="1"/>
    <col min="8958" max="8958" width="17.5703125" style="497" bestFit="1" customWidth="1"/>
    <col min="8959" max="8959" width="23.7109375" style="497" customWidth="1"/>
    <col min="8960" max="8960" width="26" style="497" customWidth="1"/>
    <col min="8961" max="8961" width="8" style="497" bestFit="1" customWidth="1"/>
    <col min="8962" max="8962" width="18.140625" style="497" bestFit="1" customWidth="1"/>
    <col min="8963" max="8963" width="10.5703125" style="497" bestFit="1" customWidth="1"/>
    <col min="8964" max="9211" width="13.42578125" style="497"/>
    <col min="9212" max="9212" width="10.28515625" style="497" bestFit="1" customWidth="1"/>
    <col min="9213" max="9213" width="16.7109375" style="497" bestFit="1" customWidth="1"/>
    <col min="9214" max="9214" width="17.5703125" style="497" bestFit="1" customWidth="1"/>
    <col min="9215" max="9215" width="23.7109375" style="497" customWidth="1"/>
    <col min="9216" max="9216" width="26" style="497" customWidth="1"/>
    <col min="9217" max="9217" width="8" style="497" bestFit="1" customWidth="1"/>
    <col min="9218" max="9218" width="18.140625" style="497" bestFit="1" customWidth="1"/>
    <col min="9219" max="9219" width="10.5703125" style="497" bestFit="1" customWidth="1"/>
    <col min="9220" max="9467" width="13.42578125" style="497"/>
    <col min="9468" max="9468" width="10.28515625" style="497" bestFit="1" customWidth="1"/>
    <col min="9469" max="9469" width="16.7109375" style="497" bestFit="1" customWidth="1"/>
    <col min="9470" max="9470" width="17.5703125" style="497" bestFit="1" customWidth="1"/>
    <col min="9471" max="9471" width="23.7109375" style="497" customWidth="1"/>
    <col min="9472" max="9472" width="26" style="497" customWidth="1"/>
    <col min="9473" max="9473" width="8" style="497" bestFit="1" customWidth="1"/>
    <col min="9474" max="9474" width="18.140625" style="497" bestFit="1" customWidth="1"/>
    <col min="9475" max="9475" width="10.5703125" style="497" bestFit="1" customWidth="1"/>
    <col min="9476" max="9723" width="13.42578125" style="497"/>
    <col min="9724" max="9724" width="10.28515625" style="497" bestFit="1" customWidth="1"/>
    <col min="9725" max="9725" width="16.7109375" style="497" bestFit="1" customWidth="1"/>
    <col min="9726" max="9726" width="17.5703125" style="497" bestFit="1" customWidth="1"/>
    <col min="9727" max="9727" width="23.7109375" style="497" customWidth="1"/>
    <col min="9728" max="9728" width="26" style="497" customWidth="1"/>
    <col min="9729" max="9729" width="8" style="497" bestFit="1" customWidth="1"/>
    <col min="9730" max="9730" width="18.140625" style="497" bestFit="1" customWidth="1"/>
    <col min="9731" max="9731" width="10.5703125" style="497" bestFit="1" customWidth="1"/>
    <col min="9732" max="9979" width="13.42578125" style="497"/>
    <col min="9980" max="9980" width="10.28515625" style="497" bestFit="1" customWidth="1"/>
    <col min="9981" max="9981" width="16.7109375" style="497" bestFit="1" customWidth="1"/>
    <col min="9982" max="9982" width="17.5703125" style="497" bestFit="1" customWidth="1"/>
    <col min="9983" max="9983" width="23.7109375" style="497" customWidth="1"/>
    <col min="9984" max="9984" width="26" style="497" customWidth="1"/>
    <col min="9985" max="9985" width="8" style="497" bestFit="1" customWidth="1"/>
    <col min="9986" max="9986" width="18.140625" style="497" bestFit="1" customWidth="1"/>
    <col min="9987" max="9987" width="10.5703125" style="497" bestFit="1" customWidth="1"/>
    <col min="9988" max="10235" width="13.42578125" style="497"/>
    <col min="10236" max="10236" width="10.28515625" style="497" bestFit="1" customWidth="1"/>
    <col min="10237" max="10237" width="16.7109375" style="497" bestFit="1" customWidth="1"/>
    <col min="10238" max="10238" width="17.5703125" style="497" bestFit="1" customWidth="1"/>
    <col min="10239" max="10239" width="23.7109375" style="497" customWidth="1"/>
    <col min="10240" max="10240" width="26" style="497" customWidth="1"/>
    <col min="10241" max="10241" width="8" style="497" bestFit="1" customWidth="1"/>
    <col min="10242" max="10242" width="18.140625" style="497" bestFit="1" customWidth="1"/>
    <col min="10243" max="10243" width="10.5703125" style="497" bestFit="1" customWidth="1"/>
    <col min="10244" max="10491" width="13.42578125" style="497"/>
    <col min="10492" max="10492" width="10.28515625" style="497" bestFit="1" customWidth="1"/>
    <col min="10493" max="10493" width="16.7109375" style="497" bestFit="1" customWidth="1"/>
    <col min="10494" max="10494" width="17.5703125" style="497" bestFit="1" customWidth="1"/>
    <col min="10495" max="10495" width="23.7109375" style="497" customWidth="1"/>
    <col min="10496" max="10496" width="26" style="497" customWidth="1"/>
    <col min="10497" max="10497" width="8" style="497" bestFit="1" customWidth="1"/>
    <col min="10498" max="10498" width="18.140625" style="497" bestFit="1" customWidth="1"/>
    <col min="10499" max="10499" width="10.5703125" style="497" bestFit="1" customWidth="1"/>
    <col min="10500" max="10747" width="13.42578125" style="497"/>
    <col min="10748" max="10748" width="10.28515625" style="497" bestFit="1" customWidth="1"/>
    <col min="10749" max="10749" width="16.7109375" style="497" bestFit="1" customWidth="1"/>
    <col min="10750" max="10750" width="17.5703125" style="497" bestFit="1" customWidth="1"/>
    <col min="10751" max="10751" width="23.7109375" style="497" customWidth="1"/>
    <col min="10752" max="10752" width="26" style="497" customWidth="1"/>
    <col min="10753" max="10753" width="8" style="497" bestFit="1" customWidth="1"/>
    <col min="10754" max="10754" width="18.140625" style="497" bestFit="1" customWidth="1"/>
    <col min="10755" max="10755" width="10.5703125" style="497" bestFit="1" customWidth="1"/>
    <col min="10756" max="11003" width="13.42578125" style="497"/>
    <col min="11004" max="11004" width="10.28515625" style="497" bestFit="1" customWidth="1"/>
    <col min="11005" max="11005" width="16.7109375" style="497" bestFit="1" customWidth="1"/>
    <col min="11006" max="11006" width="17.5703125" style="497" bestFit="1" customWidth="1"/>
    <col min="11007" max="11007" width="23.7109375" style="497" customWidth="1"/>
    <col min="11008" max="11008" width="26" style="497" customWidth="1"/>
    <col min="11009" max="11009" width="8" style="497" bestFit="1" customWidth="1"/>
    <col min="11010" max="11010" width="18.140625" style="497" bestFit="1" customWidth="1"/>
    <col min="11011" max="11011" width="10.5703125" style="497" bestFit="1" customWidth="1"/>
    <col min="11012" max="11259" width="13.42578125" style="497"/>
    <col min="11260" max="11260" width="10.28515625" style="497" bestFit="1" customWidth="1"/>
    <col min="11261" max="11261" width="16.7109375" style="497" bestFit="1" customWidth="1"/>
    <col min="11262" max="11262" width="17.5703125" style="497" bestFit="1" customWidth="1"/>
    <col min="11263" max="11263" width="23.7109375" style="497" customWidth="1"/>
    <col min="11264" max="11264" width="26" style="497" customWidth="1"/>
    <col min="11265" max="11265" width="8" style="497" bestFit="1" customWidth="1"/>
    <col min="11266" max="11266" width="18.140625" style="497" bestFit="1" customWidth="1"/>
    <col min="11267" max="11267" width="10.5703125" style="497" bestFit="1" customWidth="1"/>
    <col min="11268" max="11515" width="13.42578125" style="497"/>
    <col min="11516" max="11516" width="10.28515625" style="497" bestFit="1" customWidth="1"/>
    <col min="11517" max="11517" width="16.7109375" style="497" bestFit="1" customWidth="1"/>
    <col min="11518" max="11518" width="17.5703125" style="497" bestFit="1" customWidth="1"/>
    <col min="11519" max="11519" width="23.7109375" style="497" customWidth="1"/>
    <col min="11520" max="11520" width="26" style="497" customWidth="1"/>
    <col min="11521" max="11521" width="8" style="497" bestFit="1" customWidth="1"/>
    <col min="11522" max="11522" width="18.140625" style="497" bestFit="1" customWidth="1"/>
    <col min="11523" max="11523" width="10.5703125" style="497" bestFit="1" customWidth="1"/>
    <col min="11524" max="11771" width="13.42578125" style="497"/>
    <col min="11772" max="11772" width="10.28515625" style="497" bestFit="1" customWidth="1"/>
    <col min="11773" max="11773" width="16.7109375" style="497" bestFit="1" customWidth="1"/>
    <col min="11774" max="11774" width="17.5703125" style="497" bestFit="1" customWidth="1"/>
    <col min="11775" max="11775" width="23.7109375" style="497" customWidth="1"/>
    <col min="11776" max="11776" width="26" style="497" customWidth="1"/>
    <col min="11777" max="11777" width="8" style="497" bestFit="1" customWidth="1"/>
    <col min="11778" max="11778" width="18.140625" style="497" bestFit="1" customWidth="1"/>
    <col min="11779" max="11779" width="10.5703125" style="497" bestFit="1" customWidth="1"/>
    <col min="11780" max="12027" width="13.42578125" style="497"/>
    <col min="12028" max="12028" width="10.28515625" style="497" bestFit="1" customWidth="1"/>
    <col min="12029" max="12029" width="16.7109375" style="497" bestFit="1" customWidth="1"/>
    <col min="12030" max="12030" width="17.5703125" style="497" bestFit="1" customWidth="1"/>
    <col min="12031" max="12031" width="23.7109375" style="497" customWidth="1"/>
    <col min="12032" max="12032" width="26" style="497" customWidth="1"/>
    <col min="12033" max="12033" width="8" style="497" bestFit="1" customWidth="1"/>
    <col min="12034" max="12034" width="18.140625" style="497" bestFit="1" customWidth="1"/>
    <col min="12035" max="12035" width="10.5703125" style="497" bestFit="1" customWidth="1"/>
    <col min="12036" max="12283" width="13.42578125" style="497"/>
    <col min="12284" max="12284" width="10.28515625" style="497" bestFit="1" customWidth="1"/>
    <col min="12285" max="12285" width="16.7109375" style="497" bestFit="1" customWidth="1"/>
    <col min="12286" max="12286" width="17.5703125" style="497" bestFit="1" customWidth="1"/>
    <col min="12287" max="12287" width="23.7109375" style="497" customWidth="1"/>
    <col min="12288" max="12288" width="26" style="497" customWidth="1"/>
    <col min="12289" max="12289" width="8" style="497" bestFit="1" customWidth="1"/>
    <col min="12290" max="12290" width="18.140625" style="497" bestFit="1" customWidth="1"/>
    <col min="12291" max="12291" width="10.5703125" style="497" bestFit="1" customWidth="1"/>
    <col min="12292" max="12539" width="13.42578125" style="497"/>
    <col min="12540" max="12540" width="10.28515625" style="497" bestFit="1" customWidth="1"/>
    <col min="12541" max="12541" width="16.7109375" style="497" bestFit="1" customWidth="1"/>
    <col min="12542" max="12542" width="17.5703125" style="497" bestFit="1" customWidth="1"/>
    <col min="12543" max="12543" width="23.7109375" style="497" customWidth="1"/>
    <col min="12544" max="12544" width="26" style="497" customWidth="1"/>
    <col min="12545" max="12545" width="8" style="497" bestFit="1" customWidth="1"/>
    <col min="12546" max="12546" width="18.140625" style="497" bestFit="1" customWidth="1"/>
    <col min="12547" max="12547" width="10.5703125" style="497" bestFit="1" customWidth="1"/>
    <col min="12548" max="12795" width="13.42578125" style="497"/>
    <col min="12796" max="12796" width="10.28515625" style="497" bestFit="1" customWidth="1"/>
    <col min="12797" max="12797" width="16.7109375" style="497" bestFit="1" customWidth="1"/>
    <col min="12798" max="12798" width="17.5703125" style="497" bestFit="1" customWidth="1"/>
    <col min="12799" max="12799" width="23.7109375" style="497" customWidth="1"/>
    <col min="12800" max="12800" width="26" style="497" customWidth="1"/>
    <col min="12801" max="12801" width="8" style="497" bestFit="1" customWidth="1"/>
    <col min="12802" max="12802" width="18.140625" style="497" bestFit="1" customWidth="1"/>
    <col min="12803" max="12803" width="10.5703125" style="497" bestFit="1" customWidth="1"/>
    <col min="12804" max="13051" width="13.42578125" style="497"/>
    <col min="13052" max="13052" width="10.28515625" style="497" bestFit="1" customWidth="1"/>
    <col min="13053" max="13053" width="16.7109375" style="497" bestFit="1" customWidth="1"/>
    <col min="13054" max="13054" width="17.5703125" style="497" bestFit="1" customWidth="1"/>
    <col min="13055" max="13055" width="23.7109375" style="497" customWidth="1"/>
    <col min="13056" max="13056" width="26" style="497" customWidth="1"/>
    <col min="13057" max="13057" width="8" style="497" bestFit="1" customWidth="1"/>
    <col min="13058" max="13058" width="18.140625" style="497" bestFit="1" customWidth="1"/>
    <col min="13059" max="13059" width="10.5703125" style="497" bestFit="1" customWidth="1"/>
    <col min="13060" max="13307" width="13.42578125" style="497"/>
    <col min="13308" max="13308" width="10.28515625" style="497" bestFit="1" customWidth="1"/>
    <col min="13309" max="13309" width="16.7109375" style="497" bestFit="1" customWidth="1"/>
    <col min="13310" max="13310" width="17.5703125" style="497" bestFit="1" customWidth="1"/>
    <col min="13311" max="13311" width="23.7109375" style="497" customWidth="1"/>
    <col min="13312" max="13312" width="26" style="497" customWidth="1"/>
    <col min="13313" max="13313" width="8" style="497" bestFit="1" customWidth="1"/>
    <col min="13314" max="13314" width="18.140625" style="497" bestFit="1" customWidth="1"/>
    <col min="13315" max="13315" width="10.5703125" style="497" bestFit="1" customWidth="1"/>
    <col min="13316" max="13563" width="13.42578125" style="497"/>
    <col min="13564" max="13564" width="10.28515625" style="497" bestFit="1" customWidth="1"/>
    <col min="13565" max="13565" width="16.7109375" style="497" bestFit="1" customWidth="1"/>
    <col min="13566" max="13566" width="17.5703125" style="497" bestFit="1" customWidth="1"/>
    <col min="13567" max="13567" width="23.7109375" style="497" customWidth="1"/>
    <col min="13568" max="13568" width="26" style="497" customWidth="1"/>
    <col min="13569" max="13569" width="8" style="497" bestFit="1" customWidth="1"/>
    <col min="13570" max="13570" width="18.140625" style="497" bestFit="1" customWidth="1"/>
    <col min="13571" max="13571" width="10.5703125" style="497" bestFit="1" customWidth="1"/>
    <col min="13572" max="13819" width="13.42578125" style="497"/>
    <col min="13820" max="13820" width="10.28515625" style="497" bestFit="1" customWidth="1"/>
    <col min="13821" max="13821" width="16.7109375" style="497" bestFit="1" customWidth="1"/>
    <col min="13822" max="13822" width="17.5703125" style="497" bestFit="1" customWidth="1"/>
    <col min="13823" max="13823" width="23.7109375" style="497" customWidth="1"/>
    <col min="13824" max="13824" width="26" style="497" customWidth="1"/>
    <col min="13825" max="13825" width="8" style="497" bestFit="1" customWidth="1"/>
    <col min="13826" max="13826" width="18.140625" style="497" bestFit="1" customWidth="1"/>
    <col min="13827" max="13827" width="10.5703125" style="497" bestFit="1" customWidth="1"/>
    <col min="13828" max="14075" width="13.42578125" style="497"/>
    <col min="14076" max="14076" width="10.28515625" style="497" bestFit="1" customWidth="1"/>
    <col min="14077" max="14077" width="16.7109375" style="497" bestFit="1" customWidth="1"/>
    <col min="14078" max="14078" width="17.5703125" style="497" bestFit="1" customWidth="1"/>
    <col min="14079" max="14079" width="23.7109375" style="497" customWidth="1"/>
    <col min="14080" max="14080" width="26" style="497" customWidth="1"/>
    <col min="14081" max="14081" width="8" style="497" bestFit="1" customWidth="1"/>
    <col min="14082" max="14082" width="18.140625" style="497" bestFit="1" customWidth="1"/>
    <col min="14083" max="14083" width="10.5703125" style="497" bestFit="1" customWidth="1"/>
    <col min="14084" max="14331" width="13.42578125" style="497"/>
    <col min="14332" max="14332" width="10.28515625" style="497" bestFit="1" customWidth="1"/>
    <col min="14333" max="14333" width="16.7109375" style="497" bestFit="1" customWidth="1"/>
    <col min="14334" max="14334" width="17.5703125" style="497" bestFit="1" customWidth="1"/>
    <col min="14335" max="14335" width="23.7109375" style="497" customWidth="1"/>
    <col min="14336" max="14336" width="26" style="497" customWidth="1"/>
    <col min="14337" max="14337" width="8" style="497" bestFit="1" customWidth="1"/>
    <col min="14338" max="14338" width="18.140625" style="497" bestFit="1" customWidth="1"/>
    <col min="14339" max="14339" width="10.5703125" style="497" bestFit="1" customWidth="1"/>
    <col min="14340" max="14587" width="13.42578125" style="497"/>
    <col min="14588" max="14588" width="10.28515625" style="497" bestFit="1" customWidth="1"/>
    <col min="14589" max="14589" width="16.7109375" style="497" bestFit="1" customWidth="1"/>
    <col min="14590" max="14590" width="17.5703125" style="497" bestFit="1" customWidth="1"/>
    <col min="14591" max="14591" width="23.7109375" style="497" customWidth="1"/>
    <col min="14592" max="14592" width="26" style="497" customWidth="1"/>
    <col min="14593" max="14593" width="8" style="497" bestFit="1" customWidth="1"/>
    <col min="14594" max="14594" width="18.140625" style="497" bestFit="1" customWidth="1"/>
    <col min="14595" max="14595" width="10.5703125" style="497" bestFit="1" customWidth="1"/>
    <col min="14596" max="14843" width="13.42578125" style="497"/>
    <col min="14844" max="14844" width="10.28515625" style="497" bestFit="1" customWidth="1"/>
    <col min="14845" max="14845" width="16.7109375" style="497" bestFit="1" customWidth="1"/>
    <col min="14846" max="14846" width="17.5703125" style="497" bestFit="1" customWidth="1"/>
    <col min="14847" max="14847" width="23.7109375" style="497" customWidth="1"/>
    <col min="14848" max="14848" width="26" style="497" customWidth="1"/>
    <col min="14849" max="14849" width="8" style="497" bestFit="1" customWidth="1"/>
    <col min="14850" max="14850" width="18.140625" style="497" bestFit="1" customWidth="1"/>
    <col min="14851" max="14851" width="10.5703125" style="497" bestFit="1" customWidth="1"/>
    <col min="14852" max="15099" width="13.42578125" style="497"/>
    <col min="15100" max="15100" width="10.28515625" style="497" bestFit="1" customWidth="1"/>
    <col min="15101" max="15101" width="16.7109375" style="497" bestFit="1" customWidth="1"/>
    <col min="15102" max="15102" width="17.5703125" style="497" bestFit="1" customWidth="1"/>
    <col min="15103" max="15103" width="23.7109375" style="497" customWidth="1"/>
    <col min="15104" max="15104" width="26" style="497" customWidth="1"/>
    <col min="15105" max="15105" width="8" style="497" bestFit="1" customWidth="1"/>
    <col min="15106" max="15106" width="18.140625" style="497" bestFit="1" customWidth="1"/>
    <col min="15107" max="15107" width="10.5703125" style="497" bestFit="1" customWidth="1"/>
    <col min="15108" max="15355" width="13.42578125" style="497"/>
    <col min="15356" max="15356" width="10.28515625" style="497" bestFit="1" customWidth="1"/>
    <col min="15357" max="15357" width="16.7109375" style="497" bestFit="1" customWidth="1"/>
    <col min="15358" max="15358" width="17.5703125" style="497" bestFit="1" customWidth="1"/>
    <col min="15359" max="15359" width="23.7109375" style="497" customWidth="1"/>
    <col min="15360" max="15360" width="26" style="497" customWidth="1"/>
    <col min="15361" max="15361" width="8" style="497" bestFit="1" customWidth="1"/>
    <col min="15362" max="15362" width="18.140625" style="497" bestFit="1" customWidth="1"/>
    <col min="15363" max="15363" width="10.5703125" style="497" bestFit="1" customWidth="1"/>
    <col min="15364" max="15611" width="13.42578125" style="497"/>
    <col min="15612" max="15612" width="10.28515625" style="497" bestFit="1" customWidth="1"/>
    <col min="15613" max="15613" width="16.7109375" style="497" bestFit="1" customWidth="1"/>
    <col min="15614" max="15614" width="17.5703125" style="497" bestFit="1" customWidth="1"/>
    <col min="15615" max="15615" width="23.7109375" style="497" customWidth="1"/>
    <col min="15616" max="15616" width="26" style="497" customWidth="1"/>
    <col min="15617" max="15617" width="8" style="497" bestFit="1" customWidth="1"/>
    <col min="15618" max="15618" width="18.140625" style="497" bestFit="1" customWidth="1"/>
    <col min="15619" max="15619" width="10.5703125" style="497" bestFit="1" customWidth="1"/>
    <col min="15620" max="15867" width="13.42578125" style="497"/>
    <col min="15868" max="15868" width="10.28515625" style="497" bestFit="1" customWidth="1"/>
    <col min="15869" max="15869" width="16.7109375" style="497" bestFit="1" customWidth="1"/>
    <col min="15870" max="15870" width="17.5703125" style="497" bestFit="1" customWidth="1"/>
    <col min="15871" max="15871" width="23.7109375" style="497" customWidth="1"/>
    <col min="15872" max="15872" width="26" style="497" customWidth="1"/>
    <col min="15873" max="15873" width="8" style="497" bestFit="1" customWidth="1"/>
    <col min="15874" max="15874" width="18.140625" style="497" bestFit="1" customWidth="1"/>
    <col min="15875" max="15875" width="10.5703125" style="497" bestFit="1" customWidth="1"/>
    <col min="15876" max="16123" width="13.42578125" style="497"/>
    <col min="16124" max="16124" width="10.28515625" style="497" bestFit="1" customWidth="1"/>
    <col min="16125" max="16125" width="16.7109375" style="497" bestFit="1" customWidth="1"/>
    <col min="16126" max="16126" width="17.5703125" style="497" bestFit="1" customWidth="1"/>
    <col min="16127" max="16127" width="23.7109375" style="497" customWidth="1"/>
    <col min="16128" max="16128" width="26" style="497" customWidth="1"/>
    <col min="16129" max="16129" width="8" style="497" bestFit="1" customWidth="1"/>
    <col min="16130" max="16130" width="18.140625" style="497" bestFit="1" customWidth="1"/>
    <col min="16131" max="16131" width="10.5703125" style="497" bestFit="1" customWidth="1"/>
    <col min="16132" max="16384" width="13.42578125" style="497"/>
  </cols>
  <sheetData>
    <row r="1" spans="1:5" s="486" customFormat="1" x14ac:dyDescent="0.2">
      <c r="A1" s="484" t="s">
        <v>1570</v>
      </c>
      <c r="B1" s="485" t="s">
        <v>1571</v>
      </c>
      <c r="C1" s="485" t="s">
        <v>1573</v>
      </c>
      <c r="D1" s="485" t="s">
        <v>1574</v>
      </c>
      <c r="E1" s="500" t="s">
        <v>478</v>
      </c>
    </row>
    <row r="2" spans="1:5" s="490" customFormat="1" x14ac:dyDescent="0.2">
      <c r="A2" s="487" t="s">
        <v>1577</v>
      </c>
      <c r="B2" s="488" t="s">
        <v>1577</v>
      </c>
      <c r="C2" s="488" t="s">
        <v>1577</v>
      </c>
      <c r="D2" s="488" t="s">
        <v>1577</v>
      </c>
      <c r="E2" s="501" t="s">
        <v>1577</v>
      </c>
    </row>
    <row r="3" spans="1:5" s="493" customFormat="1" ht="105" customHeight="1" thickBot="1" x14ac:dyDescent="0.25">
      <c r="A3" s="491" t="s">
        <v>1578</v>
      </c>
      <c r="B3" s="492" t="s">
        <v>1579</v>
      </c>
      <c r="C3" s="492" t="s">
        <v>1581</v>
      </c>
      <c r="D3" s="492" t="s">
        <v>1582</v>
      </c>
      <c r="E3" s="502" t="s">
        <v>1583</v>
      </c>
    </row>
    <row r="4" spans="1:5" s="495" customFormat="1" x14ac:dyDescent="0.2">
      <c r="A4" s="494" t="s">
        <v>2005</v>
      </c>
      <c r="B4" s="494" t="s">
        <v>40</v>
      </c>
      <c r="C4" s="494" t="s">
        <v>2208</v>
      </c>
      <c r="D4" s="494" t="s">
        <v>1587</v>
      </c>
      <c r="E4" s="494">
        <f>'MCS Budget - Detailed'!N2</f>
        <v>1894251</v>
      </c>
    </row>
    <row r="5" spans="1:5" s="495" customFormat="1" x14ac:dyDescent="0.2">
      <c r="A5" s="494" t="s">
        <v>2005</v>
      </c>
      <c r="B5" s="494" t="s">
        <v>40</v>
      </c>
      <c r="C5" s="494" t="s">
        <v>1586</v>
      </c>
      <c r="D5" s="494" t="s">
        <v>1587</v>
      </c>
      <c r="E5" s="494">
        <f>'MCS Budget - Detailed'!N4</f>
        <v>610000</v>
      </c>
    </row>
    <row r="6" spans="1:5" x14ac:dyDescent="0.2">
      <c r="A6" s="496" t="s">
        <v>2005</v>
      </c>
      <c r="B6" s="496" t="s">
        <v>40</v>
      </c>
      <c r="C6" s="496" t="s">
        <v>1588</v>
      </c>
      <c r="D6" s="496" t="s">
        <v>1587</v>
      </c>
      <c r="E6" s="496">
        <f>'MCS Budget - Detailed'!N5</f>
        <v>150000</v>
      </c>
    </row>
    <row r="7" spans="1:5" x14ac:dyDescent="0.2">
      <c r="A7" s="494" t="s">
        <v>2005</v>
      </c>
      <c r="B7" s="496" t="s">
        <v>40</v>
      </c>
      <c r="C7" s="496" t="s">
        <v>1589</v>
      </c>
      <c r="D7" s="496" t="s">
        <v>1587</v>
      </c>
      <c r="E7" s="496">
        <f>'MCS Budget - Detailed'!N6</f>
        <v>5000</v>
      </c>
    </row>
    <row r="8" spans="1:5" x14ac:dyDescent="0.2">
      <c r="A8" s="496" t="s">
        <v>2005</v>
      </c>
      <c r="B8" s="496" t="s">
        <v>40</v>
      </c>
      <c r="C8" s="496" t="s">
        <v>1590</v>
      </c>
      <c r="D8" s="496" t="s">
        <v>1587</v>
      </c>
      <c r="E8" s="496">
        <f>'MCS Budget - Detailed'!N7</f>
        <v>125000</v>
      </c>
    </row>
    <row r="9" spans="1:5" x14ac:dyDescent="0.2">
      <c r="A9" s="494" t="s">
        <v>2005</v>
      </c>
      <c r="B9" s="496" t="s">
        <v>40</v>
      </c>
      <c r="C9" s="496" t="s">
        <v>2533</v>
      </c>
      <c r="D9" s="496" t="s">
        <v>1587</v>
      </c>
      <c r="E9" s="496">
        <f>'MCS Budget - Detailed'!N9</f>
        <v>30</v>
      </c>
    </row>
    <row r="10" spans="1:5" x14ac:dyDescent="0.2">
      <c r="A10" s="494" t="s">
        <v>2005</v>
      </c>
      <c r="B10" s="496" t="s">
        <v>40</v>
      </c>
      <c r="C10" s="496" t="s">
        <v>1591</v>
      </c>
      <c r="D10" s="496" t="s">
        <v>1587</v>
      </c>
      <c r="E10" s="496">
        <f>'MCS Budget - Detailed'!N10</f>
        <v>200</v>
      </c>
    </row>
    <row r="11" spans="1:5" x14ac:dyDescent="0.2">
      <c r="A11" s="496" t="s">
        <v>2005</v>
      </c>
      <c r="B11" s="496" t="s">
        <v>40</v>
      </c>
      <c r="C11" s="496" t="s">
        <v>1592</v>
      </c>
      <c r="D11" s="496" t="s">
        <v>1587</v>
      </c>
      <c r="E11" s="496">
        <f>'MCS Budget - Detailed'!N11</f>
        <v>30000</v>
      </c>
    </row>
    <row r="12" spans="1:5" x14ac:dyDescent="0.2">
      <c r="A12" s="494" t="s">
        <v>2005</v>
      </c>
      <c r="B12" s="496" t="s">
        <v>40</v>
      </c>
      <c r="C12" s="496" t="s">
        <v>2000</v>
      </c>
      <c r="D12" s="496" t="s">
        <v>1587</v>
      </c>
      <c r="E12" s="496">
        <f>'MCS Budget - Detailed'!N12</f>
        <v>215000</v>
      </c>
    </row>
    <row r="13" spans="1:5" x14ac:dyDescent="0.2">
      <c r="A13" s="496" t="s">
        <v>2005</v>
      </c>
      <c r="B13" s="496" t="s">
        <v>40</v>
      </c>
      <c r="C13" s="496" t="s">
        <v>1593</v>
      </c>
      <c r="D13" s="496" t="s">
        <v>1587</v>
      </c>
      <c r="E13" s="496">
        <f>'MCS Budget - Detailed'!N13</f>
        <v>20000</v>
      </c>
    </row>
    <row r="14" spans="1:5" x14ac:dyDescent="0.2">
      <c r="A14" s="494" t="s">
        <v>2005</v>
      </c>
      <c r="B14" s="496" t="s">
        <v>40</v>
      </c>
      <c r="C14" s="496" t="s">
        <v>2535</v>
      </c>
      <c r="D14" s="496" t="s">
        <v>1587</v>
      </c>
      <c r="E14" s="496">
        <f>'MCS Budget - Detailed'!N17</f>
        <v>4350</v>
      </c>
    </row>
    <row r="15" spans="1:5" x14ac:dyDescent="0.2">
      <c r="A15" s="494" t="s">
        <v>2005</v>
      </c>
      <c r="B15" s="496" t="s">
        <v>40</v>
      </c>
      <c r="C15" s="496" t="s">
        <v>2534</v>
      </c>
      <c r="D15" s="496" t="s">
        <v>1587</v>
      </c>
      <c r="E15" s="496">
        <f>'MCS Budget - Detailed'!N18</f>
        <v>1000</v>
      </c>
    </row>
    <row r="16" spans="1:5" x14ac:dyDescent="0.2">
      <c r="A16" s="494" t="s">
        <v>2005</v>
      </c>
      <c r="B16" s="496" t="s">
        <v>40</v>
      </c>
      <c r="C16" s="496" t="s">
        <v>2001</v>
      </c>
      <c r="D16" s="496" t="s">
        <v>1587</v>
      </c>
      <c r="E16" s="496">
        <f>'MCS Budget - Detailed'!N19</f>
        <v>4662</v>
      </c>
    </row>
    <row r="17" spans="1:5" x14ac:dyDescent="0.2">
      <c r="A17" s="496" t="s">
        <v>2005</v>
      </c>
      <c r="B17" s="496" t="s">
        <v>40</v>
      </c>
      <c r="C17" s="496" t="s">
        <v>2002</v>
      </c>
      <c r="D17" s="496" t="s">
        <v>1587</v>
      </c>
      <c r="E17" s="496">
        <f>'MCS Budget - Detailed'!N20</f>
        <v>4800</v>
      </c>
    </row>
    <row r="18" spans="1:5" x14ac:dyDescent="0.2">
      <c r="A18" s="494" t="s">
        <v>2005</v>
      </c>
      <c r="B18" s="496" t="s">
        <v>40</v>
      </c>
      <c r="C18" s="496" t="s">
        <v>2536</v>
      </c>
      <c r="D18" s="496" t="s">
        <v>1587</v>
      </c>
      <c r="E18" s="496">
        <f>'MCS Budget - Detailed'!N21</f>
        <v>4290</v>
      </c>
    </row>
    <row r="19" spans="1:5" x14ac:dyDescent="0.2">
      <c r="A19" s="494" t="s">
        <v>2005</v>
      </c>
      <c r="B19" s="496" t="s">
        <v>40</v>
      </c>
      <c r="C19" s="496" t="s">
        <v>2003</v>
      </c>
      <c r="D19" s="496" t="s">
        <v>1587</v>
      </c>
      <c r="E19" s="496">
        <f>'MCS Budget - Detailed'!N22</f>
        <v>25773</v>
      </c>
    </row>
    <row r="20" spans="1:5" x14ac:dyDescent="0.2">
      <c r="A20" s="496" t="s">
        <v>2005</v>
      </c>
      <c r="B20" s="496" t="s">
        <v>40</v>
      </c>
      <c r="C20" s="496" t="s">
        <v>2004</v>
      </c>
      <c r="D20" s="496" t="s">
        <v>1587</v>
      </c>
      <c r="E20" s="496">
        <f>'MCS Budget - Detailed'!N23</f>
        <v>48216</v>
      </c>
    </row>
    <row r="21" spans="1:5" x14ac:dyDescent="0.2">
      <c r="A21" s="496" t="s">
        <v>2005</v>
      </c>
      <c r="B21" s="496" t="s">
        <v>40</v>
      </c>
      <c r="C21" s="496" t="s">
        <v>2540</v>
      </c>
      <c r="D21" s="496" t="s">
        <v>1587</v>
      </c>
      <c r="E21" s="496">
        <f>'MCS Budget - Detailed'!N24</f>
        <v>5000</v>
      </c>
    </row>
    <row r="22" spans="1:5" x14ac:dyDescent="0.2">
      <c r="A22" s="496" t="s">
        <v>2005</v>
      </c>
      <c r="B22" s="496" t="s">
        <v>40</v>
      </c>
      <c r="C22" s="496" t="s">
        <v>2539</v>
      </c>
      <c r="D22" s="496" t="s">
        <v>1587</v>
      </c>
      <c r="E22" s="496">
        <f>'MCS Budget - Detailed'!N25</f>
        <v>1500</v>
      </c>
    </row>
    <row r="23" spans="1:5" x14ac:dyDescent="0.2">
      <c r="A23" s="496" t="s">
        <v>2005</v>
      </c>
      <c r="B23" s="496" t="s">
        <v>40</v>
      </c>
      <c r="C23" s="496" t="s">
        <v>2538</v>
      </c>
      <c r="D23" s="496" t="s">
        <v>1587</v>
      </c>
      <c r="E23" s="496">
        <f>'MCS Budget - Detailed'!N26</f>
        <v>1200</v>
      </c>
    </row>
    <row r="24" spans="1:5" x14ac:dyDescent="0.2">
      <c r="A24" s="496" t="s">
        <v>2005</v>
      </c>
      <c r="B24" s="496" t="s">
        <v>40</v>
      </c>
      <c r="C24" s="496" t="s">
        <v>2537</v>
      </c>
      <c r="D24" s="496" t="s">
        <v>1587</v>
      </c>
      <c r="E24" s="496">
        <f>'MCS Budget - Detailed'!N27</f>
        <v>1000</v>
      </c>
    </row>
    <row r="25" spans="1:5" x14ac:dyDescent="0.2">
      <c r="A25" s="496" t="s">
        <v>2005</v>
      </c>
      <c r="B25" s="496" t="s">
        <v>40</v>
      </c>
      <c r="C25" s="496" t="s">
        <v>1594</v>
      </c>
      <c r="D25" s="496" t="s">
        <v>1587</v>
      </c>
      <c r="E25" s="496">
        <f>'MCS Budget - Detailed'!N29</f>
        <v>2400</v>
      </c>
    </row>
    <row r="26" spans="1:5" x14ac:dyDescent="0.2">
      <c r="A26" s="496" t="s">
        <v>2005</v>
      </c>
      <c r="B26" s="496" t="s">
        <v>40</v>
      </c>
      <c r="C26" s="496" t="s">
        <v>2541</v>
      </c>
      <c r="D26" s="496" t="s">
        <v>1587</v>
      </c>
      <c r="E26" s="496">
        <f>'MCS Budget - Detailed'!N30</f>
        <v>4865</v>
      </c>
    </row>
    <row r="27" spans="1:5" x14ac:dyDescent="0.2">
      <c r="A27" s="496" t="s">
        <v>2005</v>
      </c>
      <c r="B27" s="496" t="s">
        <v>40</v>
      </c>
      <c r="C27" s="496" t="s">
        <v>1595</v>
      </c>
      <c r="D27" s="496" t="s">
        <v>1587</v>
      </c>
      <c r="E27" s="496">
        <f>'MCS Budget - Detailed'!N31</f>
        <v>7000</v>
      </c>
    </row>
    <row r="28" spans="1:5" x14ac:dyDescent="0.2">
      <c r="A28" s="494" t="s">
        <v>2005</v>
      </c>
      <c r="B28" s="496" t="s">
        <v>40</v>
      </c>
      <c r="C28" s="496" t="s">
        <v>1596</v>
      </c>
      <c r="D28" s="496" t="s">
        <v>1587</v>
      </c>
      <c r="E28" s="496">
        <f>'MCS Budget - Detailed'!N32</f>
        <v>46</v>
      </c>
    </row>
    <row r="29" spans="1:5" x14ac:dyDescent="0.2">
      <c r="A29" s="494" t="s">
        <v>2005</v>
      </c>
      <c r="B29" s="496" t="s">
        <v>40</v>
      </c>
      <c r="C29" s="496" t="s">
        <v>2006</v>
      </c>
      <c r="D29" s="496" t="s">
        <v>1587</v>
      </c>
      <c r="E29" s="496">
        <f>'MCS Budget - Detailed'!N33</f>
        <v>1087</v>
      </c>
    </row>
    <row r="30" spans="1:5" x14ac:dyDescent="0.2">
      <c r="A30" s="496" t="s">
        <v>2005</v>
      </c>
      <c r="B30" s="496" t="s">
        <v>40</v>
      </c>
      <c r="C30" s="496" t="s">
        <v>1597</v>
      </c>
      <c r="D30" s="496" t="s">
        <v>1587</v>
      </c>
      <c r="E30" s="496">
        <f>'MCS Budget - Detailed'!N34</f>
        <v>4239</v>
      </c>
    </row>
    <row r="31" spans="1:5" x14ac:dyDescent="0.2">
      <c r="A31" s="494" t="s">
        <v>2005</v>
      </c>
      <c r="B31" s="496" t="s">
        <v>40</v>
      </c>
      <c r="C31" s="496" t="s">
        <v>1598</v>
      </c>
      <c r="D31" s="496" t="s">
        <v>1587</v>
      </c>
      <c r="E31" s="496">
        <f>'MCS Budget - Detailed'!N35</f>
        <v>37013</v>
      </c>
    </row>
    <row r="32" spans="1:5" x14ac:dyDescent="0.2">
      <c r="A32" s="496" t="s">
        <v>2005</v>
      </c>
      <c r="B32" s="496" t="s">
        <v>40</v>
      </c>
      <c r="C32" s="496" t="s">
        <v>2007</v>
      </c>
      <c r="D32" s="496" t="s">
        <v>1587</v>
      </c>
      <c r="E32" s="496">
        <f>'MCS Budget - Detailed'!N36</f>
        <v>107614</v>
      </c>
    </row>
    <row r="33" spans="1:5" x14ac:dyDescent="0.2">
      <c r="A33" s="494" t="s">
        <v>2005</v>
      </c>
      <c r="B33" s="496" t="s">
        <v>40</v>
      </c>
      <c r="C33" s="496" t="s">
        <v>1599</v>
      </c>
      <c r="D33" s="496" t="s">
        <v>1587</v>
      </c>
      <c r="E33" s="496">
        <f>'MCS Budget - Detailed'!N37</f>
        <v>8310</v>
      </c>
    </row>
    <row r="34" spans="1:5" x14ac:dyDescent="0.2">
      <c r="A34" s="494" t="s">
        <v>2005</v>
      </c>
      <c r="B34" s="496" t="s">
        <v>40</v>
      </c>
      <c r="C34" s="496" t="s">
        <v>1600</v>
      </c>
      <c r="D34" s="496" t="s">
        <v>1587</v>
      </c>
      <c r="E34" s="496">
        <f>'MCS Budget - Detailed'!N38</f>
        <v>4500</v>
      </c>
    </row>
    <row r="35" spans="1:5" x14ac:dyDescent="0.2">
      <c r="A35" s="496" t="s">
        <v>2005</v>
      </c>
      <c r="B35" s="496" t="s">
        <v>40</v>
      </c>
      <c r="C35" s="496" t="s">
        <v>2542</v>
      </c>
      <c r="D35" s="496" t="s">
        <v>1587</v>
      </c>
      <c r="E35" s="496">
        <f>'MCS Budget - Detailed'!N39</f>
        <v>94500</v>
      </c>
    </row>
    <row r="36" spans="1:5" x14ac:dyDescent="0.2">
      <c r="A36" s="496" t="s">
        <v>2005</v>
      </c>
      <c r="B36" s="496" t="s">
        <v>40</v>
      </c>
      <c r="C36" s="496" t="s">
        <v>1601</v>
      </c>
      <c r="D36" s="496" t="s">
        <v>1587</v>
      </c>
      <c r="E36" s="496">
        <f>'MCS Budget - Detailed'!N40</f>
        <v>36535</v>
      </c>
    </row>
    <row r="37" spans="1:5" x14ac:dyDescent="0.2">
      <c r="A37" s="496" t="s">
        <v>2005</v>
      </c>
      <c r="B37" s="496" t="s">
        <v>40</v>
      </c>
      <c r="C37" s="496" t="s">
        <v>2008</v>
      </c>
      <c r="D37" s="496" t="s">
        <v>1587</v>
      </c>
      <c r="E37" s="496">
        <f>'MCS Budget - Detailed'!N41</f>
        <v>1500</v>
      </c>
    </row>
    <row r="38" spans="1:5" x14ac:dyDescent="0.2">
      <c r="A38" s="494" t="s">
        <v>2005</v>
      </c>
      <c r="B38" s="496" t="s">
        <v>40</v>
      </c>
      <c r="C38" s="496" t="s">
        <v>2544</v>
      </c>
      <c r="D38" s="496" t="s">
        <v>1587</v>
      </c>
      <c r="E38" s="496">
        <f>'MCS Budget - Detailed'!N42</f>
        <v>10607</v>
      </c>
    </row>
    <row r="39" spans="1:5" x14ac:dyDescent="0.2">
      <c r="A39" s="494" t="s">
        <v>2005</v>
      </c>
      <c r="B39" s="496" t="s">
        <v>40</v>
      </c>
      <c r="C39" s="496" t="s">
        <v>2543</v>
      </c>
      <c r="D39" s="496" t="s">
        <v>1587</v>
      </c>
      <c r="E39" s="496">
        <f>'MCS Budget - Detailed'!N43</f>
        <v>39375</v>
      </c>
    </row>
    <row r="40" spans="1:5" x14ac:dyDescent="0.2">
      <c r="A40" s="494" t="s">
        <v>2005</v>
      </c>
      <c r="B40" s="496" t="s">
        <v>40</v>
      </c>
      <c r="C40" s="496" t="s">
        <v>1602</v>
      </c>
      <c r="D40" s="496" t="s">
        <v>1587</v>
      </c>
      <c r="E40" s="496">
        <f>'MCS Budget - Detailed'!N44</f>
        <v>2573779</v>
      </c>
    </row>
    <row r="41" spans="1:5" x14ac:dyDescent="0.2">
      <c r="A41" s="496" t="s">
        <v>2005</v>
      </c>
      <c r="B41" s="496" t="s">
        <v>40</v>
      </c>
      <c r="C41" s="496" t="s">
        <v>2546</v>
      </c>
      <c r="D41" s="496" t="s">
        <v>1587</v>
      </c>
      <c r="E41" s="496">
        <f>'MCS Budget - Detailed'!N45</f>
        <v>1494</v>
      </c>
    </row>
    <row r="42" spans="1:5" x14ac:dyDescent="0.2">
      <c r="A42" s="496" t="s">
        <v>2005</v>
      </c>
      <c r="B42" s="496" t="s">
        <v>40</v>
      </c>
      <c r="C42" s="496" t="s">
        <v>2545</v>
      </c>
      <c r="D42" s="496" t="s">
        <v>1587</v>
      </c>
      <c r="E42" s="496">
        <f>'MCS Budget - Detailed'!N46</f>
        <v>-1186</v>
      </c>
    </row>
    <row r="43" spans="1:5" x14ac:dyDescent="0.2">
      <c r="A43" s="496" t="s">
        <v>2005</v>
      </c>
      <c r="B43" s="496" t="s">
        <v>40</v>
      </c>
      <c r="C43" s="496" t="s">
        <v>1603</v>
      </c>
      <c r="D43" s="496" t="s">
        <v>1587</v>
      </c>
      <c r="E43" s="496">
        <f>'MCS Budget - Detailed'!N48</f>
        <v>2800</v>
      </c>
    </row>
    <row r="44" spans="1:5" x14ac:dyDescent="0.2">
      <c r="A44" s="494" t="s">
        <v>2005</v>
      </c>
      <c r="B44" s="496" t="s">
        <v>40</v>
      </c>
      <c r="C44" s="496" t="s">
        <v>1604</v>
      </c>
      <c r="D44" s="496" t="s">
        <v>1587</v>
      </c>
      <c r="E44" s="496">
        <f>'MCS Budget - Detailed'!N50</f>
        <v>102604</v>
      </c>
    </row>
    <row r="45" spans="1:5" x14ac:dyDescent="0.2">
      <c r="A45" s="496" t="s">
        <v>2005</v>
      </c>
      <c r="B45" s="496" t="s">
        <v>40</v>
      </c>
      <c r="C45" s="496" t="s">
        <v>1605</v>
      </c>
      <c r="D45" s="496" t="s">
        <v>1587</v>
      </c>
      <c r="E45" s="496">
        <f>'MCS Budget - Detailed'!N51</f>
        <v>16421</v>
      </c>
    </row>
    <row r="46" spans="1:5" x14ac:dyDescent="0.2">
      <c r="A46" s="496" t="s">
        <v>2005</v>
      </c>
      <c r="B46" s="496" t="s">
        <v>40</v>
      </c>
      <c r="C46" s="496" t="s">
        <v>2009</v>
      </c>
      <c r="D46" s="496" t="s">
        <v>1587</v>
      </c>
      <c r="E46" s="496">
        <f>'MCS Budget - Detailed'!N52</f>
        <v>8665</v>
      </c>
    </row>
    <row r="47" spans="1:5" x14ac:dyDescent="0.2">
      <c r="A47" s="494" t="s">
        <v>2005</v>
      </c>
      <c r="B47" s="496" t="s">
        <v>40</v>
      </c>
      <c r="C47" s="496" t="s">
        <v>2547</v>
      </c>
      <c r="D47" s="496" t="s">
        <v>1587</v>
      </c>
      <c r="E47" s="496">
        <f>'MCS Budget - Detailed'!N54</f>
        <v>130111</v>
      </c>
    </row>
    <row r="48" spans="1:5" x14ac:dyDescent="0.2">
      <c r="A48" s="494" t="s">
        <v>2005</v>
      </c>
      <c r="B48" s="496" t="s">
        <v>40</v>
      </c>
      <c r="C48" s="496" t="s">
        <v>1606</v>
      </c>
      <c r="D48" s="496" t="s">
        <v>1587</v>
      </c>
      <c r="E48" s="496">
        <f>'MCS Budget - Detailed'!N55</f>
        <v>8289</v>
      </c>
    </row>
    <row r="49" spans="1:5" x14ac:dyDescent="0.2">
      <c r="A49" s="496" t="s">
        <v>2005</v>
      </c>
      <c r="B49" s="496" t="s">
        <v>40</v>
      </c>
      <c r="C49" s="496" t="s">
        <v>1607</v>
      </c>
      <c r="D49" s="496" t="s">
        <v>1587</v>
      </c>
      <c r="E49" s="496">
        <f>'MCS Budget - Detailed'!N56</f>
        <v>-100000</v>
      </c>
    </row>
    <row r="50" spans="1:5" x14ac:dyDescent="0.2">
      <c r="A50" s="494" t="s">
        <v>2005</v>
      </c>
      <c r="B50" s="496" t="s">
        <v>40</v>
      </c>
      <c r="C50" s="496" t="s">
        <v>2010</v>
      </c>
      <c r="D50" s="496" t="s">
        <v>1587</v>
      </c>
      <c r="E50" s="496">
        <f>'MCS Budget - Detailed'!N57</f>
        <v>-62000</v>
      </c>
    </row>
    <row r="51" spans="1:5" x14ac:dyDescent="0.2">
      <c r="A51" s="496" t="s">
        <v>2005</v>
      </c>
      <c r="B51" s="496" t="s">
        <v>40</v>
      </c>
      <c r="C51" s="496" t="s">
        <v>2220</v>
      </c>
      <c r="D51" s="496" t="s">
        <v>1587</v>
      </c>
      <c r="E51" s="496">
        <f>'MCS Budget - Detailed'!N60</f>
        <v>-1324565</v>
      </c>
    </row>
    <row r="52" spans="1:5" x14ac:dyDescent="0.2">
      <c r="A52" s="494" t="s">
        <v>2005</v>
      </c>
      <c r="B52" s="496" t="s">
        <v>40</v>
      </c>
      <c r="C52" s="496" t="s">
        <v>2693</v>
      </c>
      <c r="D52" s="496" t="s">
        <v>1587</v>
      </c>
      <c r="E52" s="496">
        <f>'MCS Budget - Detailed'!N61</f>
        <v>-166750</v>
      </c>
    </row>
    <row r="53" spans="1:5" x14ac:dyDescent="0.2">
      <c r="A53" s="496" t="s">
        <v>2005</v>
      </c>
      <c r="B53" s="496" t="s">
        <v>40</v>
      </c>
      <c r="C53" s="496" t="s">
        <v>1608</v>
      </c>
      <c r="D53" s="496" t="s">
        <v>1609</v>
      </c>
      <c r="E53" s="496">
        <f>'MCS Budget - Detailed'!N64</f>
        <v>43049</v>
      </c>
    </row>
    <row r="54" spans="1:5" x14ac:dyDescent="0.2">
      <c r="A54" s="494" t="s">
        <v>2005</v>
      </c>
      <c r="B54" s="496" t="s">
        <v>40</v>
      </c>
      <c r="C54" s="496" t="s">
        <v>1610</v>
      </c>
      <c r="D54" s="496" t="s">
        <v>1609</v>
      </c>
      <c r="E54" s="496">
        <f>'MCS Budget - Detailed'!N65</f>
        <v>900</v>
      </c>
    </row>
    <row r="55" spans="1:5" x14ac:dyDescent="0.2">
      <c r="A55" s="496" t="s">
        <v>2005</v>
      </c>
      <c r="B55" s="496" t="s">
        <v>40</v>
      </c>
      <c r="C55" s="496" t="s">
        <v>2548</v>
      </c>
      <c r="D55" s="496" t="s">
        <v>1609</v>
      </c>
      <c r="E55" s="496">
        <f>'MCS Budget - Detailed'!N66</f>
        <v>580</v>
      </c>
    </row>
    <row r="56" spans="1:5" x14ac:dyDescent="0.2">
      <c r="A56" s="496" t="s">
        <v>2005</v>
      </c>
      <c r="B56" s="496" t="s">
        <v>40</v>
      </c>
      <c r="C56" s="496" t="s">
        <v>1611</v>
      </c>
      <c r="D56" s="496" t="s">
        <v>1609</v>
      </c>
      <c r="E56" s="496">
        <f>'MCS Budget - Detailed'!N67</f>
        <v>66</v>
      </c>
    </row>
    <row r="57" spans="1:5" x14ac:dyDescent="0.2">
      <c r="A57" s="494" t="s">
        <v>2005</v>
      </c>
      <c r="B57" s="496" t="s">
        <v>40</v>
      </c>
      <c r="C57" s="496" t="s">
        <v>1612</v>
      </c>
      <c r="D57" s="496" t="s">
        <v>1609</v>
      </c>
      <c r="E57" s="496">
        <f>'MCS Budget - Detailed'!N68</f>
        <v>134</v>
      </c>
    </row>
    <row r="58" spans="1:5" x14ac:dyDescent="0.2">
      <c r="A58" s="496" t="s">
        <v>2005</v>
      </c>
      <c r="B58" s="496" t="s">
        <v>40</v>
      </c>
      <c r="C58" s="496" t="s">
        <v>1613</v>
      </c>
      <c r="D58" s="496" t="s">
        <v>1609</v>
      </c>
      <c r="E58" s="496">
        <f>'MCS Budget - Detailed'!N69</f>
        <v>646</v>
      </c>
    </row>
    <row r="59" spans="1:5" x14ac:dyDescent="0.2">
      <c r="A59" s="494" t="s">
        <v>2005</v>
      </c>
      <c r="B59" s="496" t="s">
        <v>40</v>
      </c>
      <c r="C59" s="496" t="s">
        <v>1614</v>
      </c>
      <c r="D59" s="496" t="s">
        <v>1609</v>
      </c>
      <c r="E59" s="496">
        <f>'MCS Budget - Detailed'!N70</f>
        <v>9084</v>
      </c>
    </row>
    <row r="60" spans="1:5" x14ac:dyDescent="0.2">
      <c r="A60" s="496" t="s">
        <v>2005</v>
      </c>
      <c r="B60" s="496" t="s">
        <v>40</v>
      </c>
      <c r="C60" s="496" t="s">
        <v>1615</v>
      </c>
      <c r="D60" s="496" t="s">
        <v>1609</v>
      </c>
      <c r="E60" s="496">
        <f>'MCS Budget - Detailed'!N71</f>
        <v>6169</v>
      </c>
    </row>
    <row r="61" spans="1:5" x14ac:dyDescent="0.2">
      <c r="A61" s="494" t="s">
        <v>2005</v>
      </c>
      <c r="B61" s="496" t="s">
        <v>40</v>
      </c>
      <c r="C61" s="496" t="s">
        <v>2694</v>
      </c>
      <c r="D61" s="496" t="s">
        <v>1609</v>
      </c>
      <c r="E61" s="496">
        <f>'MCS Budget - Detailed'!N72</f>
        <v>880</v>
      </c>
    </row>
    <row r="62" spans="1:5" x14ac:dyDescent="0.2">
      <c r="A62" s="494" t="s">
        <v>2005</v>
      </c>
      <c r="B62" s="496" t="s">
        <v>40</v>
      </c>
      <c r="C62" s="496" t="s">
        <v>1616</v>
      </c>
      <c r="D62" s="496" t="s">
        <v>1609</v>
      </c>
      <c r="E62" s="496">
        <f>'MCS Budget - Detailed'!N73</f>
        <v>300</v>
      </c>
    </row>
    <row r="63" spans="1:5" x14ac:dyDescent="0.2">
      <c r="A63" s="496" t="s">
        <v>2005</v>
      </c>
      <c r="B63" s="496" t="s">
        <v>40</v>
      </c>
      <c r="C63" s="496" t="s">
        <v>2549</v>
      </c>
      <c r="D63" s="496" t="s">
        <v>1609</v>
      </c>
      <c r="E63" s="496">
        <f>'MCS Budget - Detailed'!N74</f>
        <v>10607</v>
      </c>
    </row>
    <row r="64" spans="1:5" x14ac:dyDescent="0.2">
      <c r="A64" s="496" t="s">
        <v>2005</v>
      </c>
      <c r="B64" s="496" t="s">
        <v>40</v>
      </c>
      <c r="C64" s="496" t="s">
        <v>1617</v>
      </c>
      <c r="D64" s="496" t="s">
        <v>1609</v>
      </c>
      <c r="E64" s="496">
        <f>'MCS Budget - Detailed'!N76</f>
        <v>17195</v>
      </c>
    </row>
    <row r="65" spans="1:5" x14ac:dyDescent="0.2">
      <c r="A65" s="494" t="s">
        <v>2005</v>
      </c>
      <c r="B65" s="496" t="s">
        <v>40</v>
      </c>
      <c r="C65" s="496" t="s">
        <v>1618</v>
      </c>
      <c r="D65" s="496" t="s">
        <v>1609</v>
      </c>
      <c r="E65" s="496">
        <f>'MCS Budget - Detailed'!N77</f>
        <v>450</v>
      </c>
    </row>
    <row r="66" spans="1:5" x14ac:dyDescent="0.2">
      <c r="A66" s="494" t="s">
        <v>2005</v>
      </c>
      <c r="B66" s="496" t="s">
        <v>40</v>
      </c>
      <c r="C66" s="496" t="s">
        <v>2011</v>
      </c>
      <c r="D66" s="496" t="s">
        <v>1609</v>
      </c>
      <c r="E66" s="496">
        <f>'MCS Budget - Detailed'!N78</f>
        <v>8222</v>
      </c>
    </row>
    <row r="67" spans="1:5" x14ac:dyDescent="0.2">
      <c r="A67" s="496" t="s">
        <v>2005</v>
      </c>
      <c r="B67" s="496" t="s">
        <v>40</v>
      </c>
      <c r="C67" s="496" t="s">
        <v>1619</v>
      </c>
      <c r="D67" s="496" t="s">
        <v>1609</v>
      </c>
      <c r="E67" s="496">
        <f>'MCS Budget - Detailed'!N79</f>
        <v>33</v>
      </c>
    </row>
    <row r="68" spans="1:5" x14ac:dyDescent="0.2">
      <c r="A68" s="494" t="s">
        <v>2005</v>
      </c>
      <c r="B68" s="496" t="s">
        <v>40</v>
      </c>
      <c r="C68" s="496" t="s">
        <v>1620</v>
      </c>
      <c r="D68" s="496" t="s">
        <v>1609</v>
      </c>
      <c r="E68" s="496">
        <f>'MCS Budget - Detailed'!N80</f>
        <v>53</v>
      </c>
    </row>
    <row r="69" spans="1:5" x14ac:dyDescent="0.2">
      <c r="A69" s="494" t="s">
        <v>2005</v>
      </c>
      <c r="B69" s="496" t="s">
        <v>40</v>
      </c>
      <c r="C69" s="496" t="s">
        <v>2012</v>
      </c>
      <c r="D69" s="496" t="s">
        <v>1609</v>
      </c>
      <c r="E69" s="496">
        <f>'MCS Budget - Detailed'!N81</f>
        <v>25</v>
      </c>
    </row>
    <row r="70" spans="1:5" x14ac:dyDescent="0.2">
      <c r="A70" s="496" t="s">
        <v>2005</v>
      </c>
      <c r="B70" s="496" t="s">
        <v>40</v>
      </c>
      <c r="C70" s="496" t="s">
        <v>1621</v>
      </c>
      <c r="D70" s="496" t="s">
        <v>1609</v>
      </c>
      <c r="E70" s="496">
        <f>'MCS Budget - Detailed'!N82</f>
        <v>256</v>
      </c>
    </row>
    <row r="71" spans="1:5" x14ac:dyDescent="0.2">
      <c r="A71" s="496" t="s">
        <v>2005</v>
      </c>
      <c r="B71" s="496" t="s">
        <v>40</v>
      </c>
      <c r="C71" s="496" t="s">
        <v>2013</v>
      </c>
      <c r="D71" s="496" t="s">
        <v>1609</v>
      </c>
      <c r="E71" s="496">
        <f>'MCS Budget - Detailed'!N83</f>
        <v>120</v>
      </c>
    </row>
    <row r="72" spans="1:5" x14ac:dyDescent="0.2">
      <c r="A72" s="494" t="s">
        <v>2005</v>
      </c>
      <c r="B72" s="496" t="s">
        <v>40</v>
      </c>
      <c r="C72" s="496" t="s">
        <v>1622</v>
      </c>
      <c r="D72" s="496" t="s">
        <v>1609</v>
      </c>
      <c r="E72" s="496">
        <f>'MCS Budget - Detailed'!N84</f>
        <v>3600</v>
      </c>
    </row>
    <row r="73" spans="1:5" x14ac:dyDescent="0.2">
      <c r="A73" s="494" t="s">
        <v>2005</v>
      </c>
      <c r="B73" s="496" t="s">
        <v>40</v>
      </c>
      <c r="C73" s="496" t="s">
        <v>2014</v>
      </c>
      <c r="D73" s="496" t="s">
        <v>1609</v>
      </c>
      <c r="E73" s="496">
        <f>'MCS Budget - Detailed'!N85</f>
        <v>1678</v>
      </c>
    </row>
    <row r="74" spans="1:5" x14ac:dyDescent="0.2">
      <c r="A74" s="496" t="s">
        <v>2005</v>
      </c>
      <c r="B74" s="496" t="s">
        <v>40</v>
      </c>
      <c r="C74" s="496" t="s">
        <v>1623</v>
      </c>
      <c r="D74" s="496" t="s">
        <v>1609</v>
      </c>
      <c r="E74" s="496">
        <f>'MCS Budget - Detailed'!N86</f>
        <v>3085</v>
      </c>
    </row>
    <row r="75" spans="1:5" x14ac:dyDescent="0.2">
      <c r="A75" s="494" t="s">
        <v>2005</v>
      </c>
      <c r="B75" s="496" t="s">
        <v>40</v>
      </c>
      <c r="C75" s="496" t="s">
        <v>2551</v>
      </c>
      <c r="D75" s="496" t="s">
        <v>1609</v>
      </c>
      <c r="E75" s="496">
        <f>'MCS Budget - Detailed'!N87</f>
        <v>453</v>
      </c>
    </row>
    <row r="76" spans="1:5" x14ac:dyDescent="0.2">
      <c r="A76" s="494" t="s">
        <v>2005</v>
      </c>
      <c r="B76" s="496" t="s">
        <v>40</v>
      </c>
      <c r="C76" s="496" t="s">
        <v>2550</v>
      </c>
      <c r="D76" s="496" t="s">
        <v>1609</v>
      </c>
      <c r="E76" s="496">
        <f>'MCS Budget - Detailed'!N88</f>
        <v>267</v>
      </c>
    </row>
    <row r="77" spans="1:5" x14ac:dyDescent="0.2">
      <c r="A77" s="494" t="s">
        <v>2005</v>
      </c>
      <c r="B77" s="496" t="s">
        <v>40</v>
      </c>
      <c r="C77" s="496" t="s">
        <v>1624</v>
      </c>
      <c r="D77" s="496" t="s">
        <v>1609</v>
      </c>
      <c r="E77" s="496">
        <f>'MCS Budget - Detailed'!N89</f>
        <v>300</v>
      </c>
    </row>
    <row r="78" spans="1:5" x14ac:dyDescent="0.2">
      <c r="A78" s="496" t="s">
        <v>2005</v>
      </c>
      <c r="B78" s="496" t="s">
        <v>40</v>
      </c>
      <c r="C78" s="496" t="s">
        <v>1625</v>
      </c>
      <c r="D78" s="496" t="s">
        <v>1609</v>
      </c>
      <c r="E78" s="496">
        <f>'MCS Budget - Detailed'!N91</f>
        <v>17195</v>
      </c>
    </row>
    <row r="79" spans="1:5" x14ac:dyDescent="0.2">
      <c r="A79" s="494" t="s">
        <v>2005</v>
      </c>
      <c r="B79" s="496" t="s">
        <v>40</v>
      </c>
      <c r="C79" s="496" t="s">
        <v>1626</v>
      </c>
      <c r="D79" s="496" t="s">
        <v>1609</v>
      </c>
      <c r="E79" s="496">
        <f>'MCS Budget - Detailed'!N92</f>
        <v>450</v>
      </c>
    </row>
    <row r="80" spans="1:5" x14ac:dyDescent="0.2">
      <c r="A80" s="494" t="s">
        <v>2005</v>
      </c>
      <c r="B80" s="496" t="s">
        <v>40</v>
      </c>
      <c r="C80" s="496" t="s">
        <v>2015</v>
      </c>
      <c r="D80" s="496" t="s">
        <v>1609</v>
      </c>
      <c r="E80" s="496">
        <f>'MCS Budget - Detailed'!N93</f>
        <v>8222</v>
      </c>
    </row>
    <row r="81" spans="1:5" x14ac:dyDescent="0.2">
      <c r="A81" s="496" t="s">
        <v>2005</v>
      </c>
      <c r="B81" s="496" t="s">
        <v>40</v>
      </c>
      <c r="C81" s="496" t="s">
        <v>2016</v>
      </c>
      <c r="D81" s="496" t="s">
        <v>1609</v>
      </c>
      <c r="E81" s="496">
        <f>'MCS Budget - Detailed'!N94</f>
        <v>33</v>
      </c>
    </row>
    <row r="82" spans="1:5" x14ac:dyDescent="0.2">
      <c r="A82" s="496" t="s">
        <v>2005</v>
      </c>
      <c r="B82" s="496" t="s">
        <v>40</v>
      </c>
      <c r="C82" s="496" t="s">
        <v>1627</v>
      </c>
      <c r="D82" s="496" t="s">
        <v>1609</v>
      </c>
      <c r="E82" s="496">
        <f>'MCS Budget - Detailed'!N95</f>
        <v>53</v>
      </c>
    </row>
    <row r="83" spans="1:5" x14ac:dyDescent="0.2">
      <c r="A83" s="496" t="s">
        <v>2005</v>
      </c>
      <c r="B83" s="496" t="s">
        <v>40</v>
      </c>
      <c r="C83" s="496" t="s">
        <v>2017</v>
      </c>
      <c r="D83" s="496" t="s">
        <v>1609</v>
      </c>
      <c r="E83" s="496">
        <f>'MCS Budget - Detailed'!N96</f>
        <v>25</v>
      </c>
    </row>
    <row r="84" spans="1:5" x14ac:dyDescent="0.2">
      <c r="A84" s="494" t="s">
        <v>2005</v>
      </c>
      <c r="B84" s="496" t="s">
        <v>40</v>
      </c>
      <c r="C84" s="496" t="s">
        <v>1628</v>
      </c>
      <c r="D84" s="496" t="s">
        <v>1609</v>
      </c>
      <c r="E84" s="496">
        <f>'MCS Budget - Detailed'!N97</f>
        <v>256</v>
      </c>
    </row>
    <row r="85" spans="1:5" x14ac:dyDescent="0.2">
      <c r="A85" s="494" t="s">
        <v>2005</v>
      </c>
      <c r="B85" s="496" t="s">
        <v>40</v>
      </c>
      <c r="C85" s="496" t="s">
        <v>2018</v>
      </c>
      <c r="D85" s="496" t="s">
        <v>1609</v>
      </c>
      <c r="E85" s="496">
        <f>'MCS Budget - Detailed'!N98</f>
        <v>120</v>
      </c>
    </row>
    <row r="86" spans="1:5" x14ac:dyDescent="0.2">
      <c r="A86" s="496" t="s">
        <v>2005</v>
      </c>
      <c r="B86" s="496" t="s">
        <v>40</v>
      </c>
      <c r="C86" s="496" t="s">
        <v>1629</v>
      </c>
      <c r="D86" s="496" t="s">
        <v>1609</v>
      </c>
      <c r="E86" s="496">
        <f>'MCS Budget - Detailed'!N99</f>
        <v>3600</v>
      </c>
    </row>
    <row r="87" spans="1:5" x14ac:dyDescent="0.2">
      <c r="A87" s="496" t="s">
        <v>2005</v>
      </c>
      <c r="B87" s="496" t="s">
        <v>40</v>
      </c>
      <c r="C87" s="496" t="s">
        <v>2019</v>
      </c>
      <c r="D87" s="496" t="s">
        <v>1609</v>
      </c>
      <c r="E87" s="496">
        <f>'MCS Budget - Detailed'!N100</f>
        <v>1678</v>
      </c>
    </row>
    <row r="88" spans="1:5" x14ac:dyDescent="0.2">
      <c r="A88" s="494" t="s">
        <v>2005</v>
      </c>
      <c r="B88" s="496" t="s">
        <v>40</v>
      </c>
      <c r="C88" s="496" t="s">
        <v>1630</v>
      </c>
      <c r="D88" s="496" t="s">
        <v>1609</v>
      </c>
      <c r="E88" s="496">
        <f>'MCS Budget - Detailed'!N101</f>
        <v>3085</v>
      </c>
    </row>
    <row r="89" spans="1:5" x14ac:dyDescent="0.2">
      <c r="A89" s="496" t="s">
        <v>2005</v>
      </c>
      <c r="B89" s="496" t="s">
        <v>40</v>
      </c>
      <c r="C89" s="496" t="s">
        <v>2553</v>
      </c>
      <c r="D89" s="496" t="s">
        <v>1609</v>
      </c>
      <c r="E89" s="496">
        <f>'MCS Budget - Detailed'!N102</f>
        <v>449</v>
      </c>
    </row>
    <row r="90" spans="1:5" x14ac:dyDescent="0.2">
      <c r="A90" s="496" t="s">
        <v>2005</v>
      </c>
      <c r="B90" s="496" t="s">
        <v>40</v>
      </c>
      <c r="C90" s="496" t="s">
        <v>2552</v>
      </c>
      <c r="D90" s="496" t="s">
        <v>1609</v>
      </c>
      <c r="E90" s="496">
        <f>'MCS Budget - Detailed'!N103</f>
        <v>267</v>
      </c>
    </row>
    <row r="91" spans="1:5" x14ac:dyDescent="0.2">
      <c r="A91" s="496" t="s">
        <v>2005</v>
      </c>
      <c r="B91" s="496" t="s">
        <v>40</v>
      </c>
      <c r="C91" s="496" t="s">
        <v>1631</v>
      </c>
      <c r="D91" s="496" t="s">
        <v>1609</v>
      </c>
      <c r="E91" s="496">
        <f>'MCS Budget - Detailed'!N104</f>
        <v>300</v>
      </c>
    </row>
    <row r="92" spans="1:5" x14ac:dyDescent="0.2">
      <c r="A92" s="494" t="s">
        <v>2005</v>
      </c>
      <c r="B92" s="496" t="s">
        <v>40</v>
      </c>
      <c r="C92" s="496" t="s">
        <v>1632</v>
      </c>
      <c r="D92" s="496" t="s">
        <v>1609</v>
      </c>
      <c r="E92" s="496">
        <f>'MCS Budget - Detailed'!N106</f>
        <v>36165</v>
      </c>
    </row>
    <row r="93" spans="1:5" x14ac:dyDescent="0.2">
      <c r="A93" s="496" t="s">
        <v>2005</v>
      </c>
      <c r="B93" s="496" t="s">
        <v>40</v>
      </c>
      <c r="C93" s="496" t="s">
        <v>1633</v>
      </c>
      <c r="D93" s="496" t="s">
        <v>1609</v>
      </c>
      <c r="E93" s="496">
        <f>'MCS Budget - Detailed'!N107</f>
        <v>900</v>
      </c>
    </row>
    <row r="94" spans="1:5" x14ac:dyDescent="0.2">
      <c r="A94" s="494" t="s">
        <v>2005</v>
      </c>
      <c r="B94" s="496" t="s">
        <v>40</v>
      </c>
      <c r="C94" s="496" t="s">
        <v>2020</v>
      </c>
      <c r="D94" s="496" t="s">
        <v>1609</v>
      </c>
      <c r="E94" s="496">
        <f>'MCS Budget - Detailed'!N108</f>
        <v>66</v>
      </c>
    </row>
    <row r="95" spans="1:5" x14ac:dyDescent="0.2">
      <c r="A95" s="494" t="s">
        <v>2005</v>
      </c>
      <c r="B95" s="496" t="s">
        <v>40</v>
      </c>
      <c r="C95" s="496" t="s">
        <v>1634</v>
      </c>
      <c r="D95" s="496" t="s">
        <v>1609</v>
      </c>
      <c r="E95" s="496">
        <f>'MCS Budget - Detailed'!N109</f>
        <v>112</v>
      </c>
    </row>
    <row r="96" spans="1:5" x14ac:dyDescent="0.2">
      <c r="A96" s="496" t="s">
        <v>2005</v>
      </c>
      <c r="B96" s="496" t="s">
        <v>40</v>
      </c>
      <c r="C96" s="496" t="s">
        <v>1635</v>
      </c>
      <c r="D96" s="496" t="s">
        <v>1609</v>
      </c>
      <c r="E96" s="496">
        <f>'MCS Budget - Detailed'!N110</f>
        <v>538</v>
      </c>
    </row>
    <row r="97" spans="1:5" x14ac:dyDescent="0.2">
      <c r="A97" s="494" t="s">
        <v>2005</v>
      </c>
      <c r="B97" s="496" t="s">
        <v>40</v>
      </c>
      <c r="C97" s="496" t="s">
        <v>1636</v>
      </c>
      <c r="D97" s="496" t="s">
        <v>1609</v>
      </c>
      <c r="E97" s="496">
        <f>'MCS Budget - Detailed'!N111</f>
        <v>7562</v>
      </c>
    </row>
    <row r="98" spans="1:5" x14ac:dyDescent="0.2">
      <c r="A98" s="494" t="s">
        <v>2005</v>
      </c>
      <c r="B98" s="496" t="s">
        <v>40</v>
      </c>
      <c r="C98" s="496" t="s">
        <v>2021</v>
      </c>
      <c r="D98" s="496" t="s">
        <v>1609</v>
      </c>
      <c r="E98" s="496">
        <f>'MCS Budget - Detailed'!N112</f>
        <v>6169</v>
      </c>
    </row>
    <row r="99" spans="1:5" x14ac:dyDescent="0.2">
      <c r="A99" s="496" t="s">
        <v>2005</v>
      </c>
      <c r="B99" s="496" t="s">
        <v>40</v>
      </c>
      <c r="C99" s="496" t="s">
        <v>2554</v>
      </c>
      <c r="D99" s="496" t="s">
        <v>1609</v>
      </c>
      <c r="E99" s="496">
        <f>'MCS Budget - Detailed'!N113</f>
        <v>963</v>
      </c>
    </row>
    <row r="100" spans="1:5" x14ac:dyDescent="0.2">
      <c r="A100" s="496" t="s">
        <v>2005</v>
      </c>
      <c r="B100" s="496" t="s">
        <v>40</v>
      </c>
      <c r="C100" s="496" t="s">
        <v>1637</v>
      </c>
      <c r="D100" s="496" t="s">
        <v>1609</v>
      </c>
      <c r="E100" s="496">
        <f>'MCS Budget - Detailed'!N114</f>
        <v>300</v>
      </c>
    </row>
    <row r="101" spans="1:5" x14ac:dyDescent="0.2">
      <c r="A101" s="494" t="s">
        <v>2005</v>
      </c>
      <c r="B101" s="496" t="s">
        <v>40</v>
      </c>
      <c r="C101" s="496" t="s">
        <v>1638</v>
      </c>
      <c r="D101" s="496" t="s">
        <v>1609</v>
      </c>
      <c r="E101" s="496">
        <f>'MCS Budget - Detailed'!N116</f>
        <v>36940</v>
      </c>
    </row>
    <row r="102" spans="1:5" x14ac:dyDescent="0.2">
      <c r="A102" s="496" t="s">
        <v>2005</v>
      </c>
      <c r="B102" s="496" t="s">
        <v>40</v>
      </c>
      <c r="C102" s="496" t="s">
        <v>1639</v>
      </c>
      <c r="D102" s="496" t="s">
        <v>1609</v>
      </c>
      <c r="E102" s="496">
        <f>'MCS Budget - Detailed'!N117</f>
        <v>900</v>
      </c>
    </row>
    <row r="103" spans="1:5" x14ac:dyDescent="0.2">
      <c r="A103" s="494" t="s">
        <v>2005</v>
      </c>
      <c r="B103" s="496" t="s">
        <v>40</v>
      </c>
      <c r="C103" s="496" t="s">
        <v>2022</v>
      </c>
      <c r="D103" s="496" t="s">
        <v>1609</v>
      </c>
      <c r="E103" s="496">
        <f>'MCS Budget - Detailed'!N118</f>
        <v>66</v>
      </c>
    </row>
    <row r="104" spans="1:5" x14ac:dyDescent="0.2">
      <c r="A104" s="494" t="s">
        <v>2005</v>
      </c>
      <c r="B104" s="496" t="s">
        <v>40</v>
      </c>
      <c r="C104" s="496" t="s">
        <v>1640</v>
      </c>
      <c r="D104" s="496" t="s">
        <v>1609</v>
      </c>
      <c r="E104" s="496">
        <f>'MCS Budget - Detailed'!N119</f>
        <v>114</v>
      </c>
    </row>
    <row r="105" spans="1:5" x14ac:dyDescent="0.2">
      <c r="A105" s="496" t="s">
        <v>2005</v>
      </c>
      <c r="B105" s="496" t="s">
        <v>40</v>
      </c>
      <c r="C105" s="496" t="s">
        <v>1641</v>
      </c>
      <c r="D105" s="496" t="s">
        <v>1609</v>
      </c>
      <c r="E105" s="496">
        <f>'MCS Budget - Detailed'!N120</f>
        <v>549</v>
      </c>
    </row>
    <row r="106" spans="1:5" x14ac:dyDescent="0.2">
      <c r="A106" s="494" t="s">
        <v>2005</v>
      </c>
      <c r="B106" s="496" t="s">
        <v>40</v>
      </c>
      <c r="C106" s="496" t="s">
        <v>1642</v>
      </c>
      <c r="D106" s="496" t="s">
        <v>1609</v>
      </c>
      <c r="E106" s="496">
        <f>'MCS Budget - Detailed'!N121</f>
        <v>7720</v>
      </c>
    </row>
    <row r="107" spans="1:5" x14ac:dyDescent="0.2">
      <c r="A107" s="496" t="s">
        <v>2005</v>
      </c>
      <c r="B107" s="496" t="s">
        <v>40</v>
      </c>
      <c r="C107" s="496" t="s">
        <v>1643</v>
      </c>
      <c r="D107" s="496" t="s">
        <v>1609</v>
      </c>
      <c r="E107" s="496">
        <f>'MCS Budget - Detailed'!N122</f>
        <v>6169</v>
      </c>
    </row>
    <row r="108" spans="1:5" x14ac:dyDescent="0.2">
      <c r="A108" s="494" t="s">
        <v>2005</v>
      </c>
      <c r="B108" s="496" t="s">
        <v>40</v>
      </c>
      <c r="C108" s="496" t="s">
        <v>2555</v>
      </c>
      <c r="D108" s="496" t="s">
        <v>1609</v>
      </c>
      <c r="E108" s="496">
        <f>'MCS Budget - Detailed'!N123</f>
        <v>980</v>
      </c>
    </row>
    <row r="109" spans="1:5" x14ac:dyDescent="0.2">
      <c r="A109" s="494" t="s">
        <v>2005</v>
      </c>
      <c r="B109" s="496" t="s">
        <v>40</v>
      </c>
      <c r="C109" s="496" t="s">
        <v>1644</v>
      </c>
      <c r="D109" s="496" t="s">
        <v>1609</v>
      </c>
      <c r="E109" s="496">
        <f>'MCS Budget - Detailed'!N124</f>
        <v>300</v>
      </c>
    </row>
    <row r="110" spans="1:5" x14ac:dyDescent="0.2">
      <c r="A110" s="496" t="s">
        <v>2005</v>
      </c>
      <c r="B110" s="496" t="s">
        <v>40</v>
      </c>
      <c r="C110" s="496" t="s">
        <v>1645</v>
      </c>
      <c r="D110" s="496" t="s">
        <v>1609</v>
      </c>
      <c r="E110" s="496">
        <f>'MCS Budget - Detailed'!N126</f>
        <v>16115</v>
      </c>
    </row>
    <row r="111" spans="1:5" x14ac:dyDescent="0.2">
      <c r="A111" s="494" t="s">
        <v>2005</v>
      </c>
      <c r="B111" s="496" t="s">
        <v>40</v>
      </c>
      <c r="C111" s="496" t="s">
        <v>1646</v>
      </c>
      <c r="D111" s="496" t="s">
        <v>1609</v>
      </c>
      <c r="E111" s="496">
        <f>'MCS Budget - Detailed'!N127</f>
        <v>900</v>
      </c>
    </row>
    <row r="112" spans="1:5" x14ac:dyDescent="0.2">
      <c r="A112" s="496" t="s">
        <v>2005</v>
      </c>
      <c r="B112" s="496" t="s">
        <v>40</v>
      </c>
      <c r="C112" s="496" t="s">
        <v>2023</v>
      </c>
      <c r="D112" s="496" t="s">
        <v>1609</v>
      </c>
      <c r="E112" s="496">
        <f>'MCS Budget - Detailed'!N128</f>
        <v>66</v>
      </c>
    </row>
    <row r="113" spans="1:5" x14ac:dyDescent="0.2">
      <c r="A113" s="496" t="s">
        <v>2005</v>
      </c>
      <c r="B113" s="496" t="s">
        <v>40</v>
      </c>
      <c r="C113" s="496" t="s">
        <v>1647</v>
      </c>
      <c r="D113" s="496" t="s">
        <v>1609</v>
      </c>
      <c r="E113" s="496">
        <f>'MCS Budget - Detailed'!N129</f>
        <v>103</v>
      </c>
    </row>
    <row r="114" spans="1:5" x14ac:dyDescent="0.2">
      <c r="A114" s="494" t="s">
        <v>2005</v>
      </c>
      <c r="B114" s="496" t="s">
        <v>40</v>
      </c>
      <c r="C114" s="496" t="s">
        <v>1648</v>
      </c>
      <c r="D114" s="496" t="s">
        <v>1609</v>
      </c>
      <c r="E114" s="496">
        <f>'MCS Budget - Detailed'!N130</f>
        <v>494</v>
      </c>
    </row>
    <row r="115" spans="1:5" x14ac:dyDescent="0.2">
      <c r="A115" s="496" t="s">
        <v>2005</v>
      </c>
      <c r="B115" s="496" t="s">
        <v>40</v>
      </c>
      <c r="C115" s="496" t="s">
        <v>1650</v>
      </c>
      <c r="D115" s="496" t="s">
        <v>1609</v>
      </c>
      <c r="E115" s="568">
        <f>'MCS Budget - Detailed'!N131</f>
        <v>6940</v>
      </c>
    </row>
    <row r="116" spans="1:5" x14ac:dyDescent="0.2">
      <c r="A116" s="494" t="s">
        <v>2005</v>
      </c>
      <c r="B116" s="496" t="s">
        <v>40</v>
      </c>
      <c r="C116" s="496" t="s">
        <v>1649</v>
      </c>
      <c r="D116" s="496" t="s">
        <v>1609</v>
      </c>
      <c r="E116" s="568">
        <f>'MCS Budget - Detailed'!N132</f>
        <v>6169</v>
      </c>
    </row>
    <row r="117" spans="1:5" x14ac:dyDescent="0.2">
      <c r="A117" s="496" t="s">
        <v>2005</v>
      </c>
      <c r="B117" s="496" t="s">
        <v>40</v>
      </c>
      <c r="C117" s="496" t="s">
        <v>2556</v>
      </c>
      <c r="D117" s="496" t="s">
        <v>1609</v>
      </c>
      <c r="E117" s="568">
        <f>'MCS Budget - Detailed'!N133</f>
        <v>640</v>
      </c>
    </row>
    <row r="118" spans="1:5" x14ac:dyDescent="0.2">
      <c r="A118" s="496" t="s">
        <v>2005</v>
      </c>
      <c r="B118" s="496" t="s">
        <v>40</v>
      </c>
      <c r="C118" s="496" t="s">
        <v>1651</v>
      </c>
      <c r="D118" s="496" t="s">
        <v>1609</v>
      </c>
      <c r="E118" s="568">
        <f>'MCS Budget - Detailed'!N134</f>
        <v>300</v>
      </c>
    </row>
    <row r="119" spans="1:5" x14ac:dyDescent="0.2">
      <c r="A119" s="496" t="s">
        <v>2005</v>
      </c>
      <c r="B119" s="496" t="s">
        <v>40</v>
      </c>
      <c r="C119" s="496" t="s">
        <v>2024</v>
      </c>
      <c r="D119" s="496" t="s">
        <v>1609</v>
      </c>
      <c r="E119" s="496">
        <f>'MCS Budget - Detailed'!N136</f>
        <v>12030</v>
      </c>
    </row>
    <row r="120" spans="1:5" x14ac:dyDescent="0.2">
      <c r="A120" s="494" t="s">
        <v>2005</v>
      </c>
      <c r="B120" s="496" t="s">
        <v>40</v>
      </c>
      <c r="C120" s="496" t="s">
        <v>2025</v>
      </c>
      <c r="D120" s="496" t="s">
        <v>1609</v>
      </c>
      <c r="E120" s="496">
        <f>'MCS Budget - Detailed'!N137</f>
        <v>300</v>
      </c>
    </row>
    <row r="121" spans="1:5" x14ac:dyDescent="0.2">
      <c r="A121" s="496" t="s">
        <v>2005</v>
      </c>
      <c r="B121" s="496" t="s">
        <v>40</v>
      </c>
      <c r="C121" s="496" t="s">
        <v>2026</v>
      </c>
      <c r="D121" s="496" t="s">
        <v>1609</v>
      </c>
      <c r="E121" s="496">
        <f>'MCS Budget - Detailed'!N138</f>
        <v>22</v>
      </c>
    </row>
    <row r="122" spans="1:5" x14ac:dyDescent="0.2">
      <c r="A122" s="496" t="s">
        <v>2005</v>
      </c>
      <c r="B122" s="496" t="s">
        <v>40</v>
      </c>
      <c r="C122" s="496" t="s">
        <v>2027</v>
      </c>
      <c r="D122" s="496" t="s">
        <v>1609</v>
      </c>
      <c r="E122" s="496">
        <f>'MCS Budget - Detailed'!N139</f>
        <v>37</v>
      </c>
    </row>
    <row r="123" spans="1:5" x14ac:dyDescent="0.2">
      <c r="A123" s="494" t="s">
        <v>2005</v>
      </c>
      <c r="B123" s="496" t="s">
        <v>40</v>
      </c>
      <c r="C123" s="496" t="s">
        <v>2028</v>
      </c>
      <c r="D123" s="496" t="s">
        <v>1609</v>
      </c>
      <c r="E123" s="496">
        <f>'MCS Budget - Detailed'!N140</f>
        <v>179</v>
      </c>
    </row>
    <row r="124" spans="1:5" x14ac:dyDescent="0.2">
      <c r="A124" s="496" t="s">
        <v>2005</v>
      </c>
      <c r="B124" s="496" t="s">
        <v>40</v>
      </c>
      <c r="C124" s="496" t="s">
        <v>2029</v>
      </c>
      <c r="D124" s="496" t="s">
        <v>1609</v>
      </c>
      <c r="E124" s="568">
        <f>'MCS Budget - Detailed'!N141</f>
        <v>2516</v>
      </c>
    </row>
    <row r="125" spans="1:5" x14ac:dyDescent="0.2">
      <c r="A125" s="494" t="s">
        <v>2005</v>
      </c>
      <c r="B125" s="496" t="s">
        <v>40</v>
      </c>
      <c r="C125" s="496" t="s">
        <v>2030</v>
      </c>
      <c r="D125" s="496" t="s">
        <v>1609</v>
      </c>
      <c r="E125" s="568">
        <f>'MCS Budget - Detailed'!N142</f>
        <v>2057</v>
      </c>
    </row>
    <row r="126" spans="1:5" x14ac:dyDescent="0.2">
      <c r="A126" s="496" t="s">
        <v>2005</v>
      </c>
      <c r="B126" s="496" t="s">
        <v>40</v>
      </c>
      <c r="C126" s="496" t="s">
        <v>2557</v>
      </c>
      <c r="D126" s="496" t="s">
        <v>1609</v>
      </c>
      <c r="E126" s="568">
        <f>'MCS Budget - Detailed'!N143</f>
        <v>480</v>
      </c>
    </row>
    <row r="127" spans="1:5" x14ac:dyDescent="0.2">
      <c r="A127" s="496" t="s">
        <v>2005</v>
      </c>
      <c r="B127" s="496" t="s">
        <v>40</v>
      </c>
      <c r="C127" s="496" t="s">
        <v>2031</v>
      </c>
      <c r="D127" s="496" t="s">
        <v>1609</v>
      </c>
      <c r="E127" s="568">
        <f>'MCS Budget - Detailed'!N144</f>
        <v>300</v>
      </c>
    </row>
    <row r="128" spans="1:5" x14ac:dyDescent="0.2">
      <c r="A128" s="494" t="s">
        <v>2005</v>
      </c>
      <c r="B128" s="496" t="s">
        <v>40</v>
      </c>
      <c r="C128" s="496" t="s">
        <v>1652</v>
      </c>
      <c r="D128" s="496" t="s">
        <v>1609</v>
      </c>
      <c r="E128" s="496">
        <f>'MCS Budget - Detailed'!N147</f>
        <v>20350</v>
      </c>
    </row>
    <row r="129" spans="1:5" x14ac:dyDescent="0.2">
      <c r="A129" s="496" t="s">
        <v>2005</v>
      </c>
      <c r="B129" s="496" t="s">
        <v>40</v>
      </c>
      <c r="C129" s="496" t="s">
        <v>1653</v>
      </c>
      <c r="D129" s="496" t="s">
        <v>1609</v>
      </c>
      <c r="E129" s="496">
        <f>'MCS Budget - Detailed'!N148</f>
        <v>450</v>
      </c>
    </row>
    <row r="130" spans="1:5" x14ac:dyDescent="0.2">
      <c r="A130" s="494" t="s">
        <v>2005</v>
      </c>
      <c r="B130" s="496" t="s">
        <v>40</v>
      </c>
      <c r="C130" s="496" t="s">
        <v>1654</v>
      </c>
      <c r="D130" s="496" t="s">
        <v>1609</v>
      </c>
      <c r="E130" s="496">
        <f>'MCS Budget - Detailed'!N149</f>
        <v>33</v>
      </c>
    </row>
    <row r="131" spans="1:5" x14ac:dyDescent="0.2">
      <c r="A131" s="496" t="s">
        <v>2005</v>
      </c>
      <c r="B131" s="496" t="s">
        <v>40</v>
      </c>
      <c r="C131" s="496" t="s">
        <v>1655</v>
      </c>
      <c r="D131" s="496" t="s">
        <v>1609</v>
      </c>
      <c r="E131" s="496">
        <f>'MCS Budget - Detailed'!N150</f>
        <v>63</v>
      </c>
    </row>
    <row r="132" spans="1:5" x14ac:dyDescent="0.2">
      <c r="A132" s="494" t="s">
        <v>2005</v>
      </c>
      <c r="B132" s="496" t="s">
        <v>40</v>
      </c>
      <c r="C132" s="496" t="s">
        <v>1656</v>
      </c>
      <c r="D132" s="496" t="s">
        <v>1609</v>
      </c>
      <c r="E132" s="496">
        <f>'MCS Budget - Detailed'!N151</f>
        <v>302</v>
      </c>
    </row>
    <row r="133" spans="1:5" x14ac:dyDescent="0.2">
      <c r="A133" s="496" t="s">
        <v>2005</v>
      </c>
      <c r="B133" s="496" t="s">
        <v>40</v>
      </c>
      <c r="C133" s="496" t="s">
        <v>1657</v>
      </c>
      <c r="D133" s="496" t="s">
        <v>1609</v>
      </c>
      <c r="E133" s="496">
        <f>'MCS Budget - Detailed'!N152</f>
        <v>4244</v>
      </c>
    </row>
    <row r="134" spans="1:5" x14ac:dyDescent="0.2">
      <c r="A134" s="494" t="s">
        <v>2005</v>
      </c>
      <c r="B134" s="496" t="s">
        <v>40</v>
      </c>
      <c r="C134" s="496" t="s">
        <v>1658</v>
      </c>
      <c r="D134" s="496" t="s">
        <v>1609</v>
      </c>
      <c r="E134" s="496">
        <f>'MCS Budget - Detailed'!N163</f>
        <v>3085</v>
      </c>
    </row>
    <row r="135" spans="1:5" x14ac:dyDescent="0.2">
      <c r="A135" s="496" t="s">
        <v>2005</v>
      </c>
      <c r="B135" s="496" t="s">
        <v>40</v>
      </c>
      <c r="C135" s="496" t="s">
        <v>2558</v>
      </c>
      <c r="D135" s="496" t="s">
        <v>1609</v>
      </c>
      <c r="E135" s="496">
        <f>'MCS Budget - Detailed'!N154</f>
        <v>610</v>
      </c>
    </row>
    <row r="136" spans="1:5" x14ac:dyDescent="0.2">
      <c r="A136" s="496" t="s">
        <v>2005</v>
      </c>
      <c r="B136" s="496" t="s">
        <v>40</v>
      </c>
      <c r="C136" s="496" t="s">
        <v>1659</v>
      </c>
      <c r="D136" s="496" t="s">
        <v>1609</v>
      </c>
      <c r="E136" s="496">
        <f>'MCS Budget - Detailed'!N155</f>
        <v>300</v>
      </c>
    </row>
    <row r="137" spans="1:5" x14ac:dyDescent="0.2">
      <c r="A137" s="494" t="s">
        <v>2005</v>
      </c>
      <c r="B137" s="496" t="s">
        <v>40</v>
      </c>
      <c r="C137" s="496" t="s">
        <v>1660</v>
      </c>
      <c r="D137" s="496" t="s">
        <v>1609</v>
      </c>
      <c r="E137" s="496">
        <f>'MCS Budget - Detailed'!N157</f>
        <v>20181</v>
      </c>
    </row>
    <row r="138" spans="1:5" x14ac:dyDescent="0.2">
      <c r="A138" s="496" t="s">
        <v>2005</v>
      </c>
      <c r="B138" s="496" t="s">
        <v>40</v>
      </c>
      <c r="C138" s="496" t="s">
        <v>1661</v>
      </c>
      <c r="D138" s="496" t="s">
        <v>1609</v>
      </c>
      <c r="E138" s="496">
        <f>'MCS Budget - Detailed'!N158</f>
        <v>450</v>
      </c>
    </row>
    <row r="139" spans="1:5" x14ac:dyDescent="0.2">
      <c r="A139" s="494" t="s">
        <v>2005</v>
      </c>
      <c r="B139" s="496" t="s">
        <v>40</v>
      </c>
      <c r="C139" s="496" t="s">
        <v>1662</v>
      </c>
      <c r="D139" s="496" t="s">
        <v>1609</v>
      </c>
      <c r="E139" s="496">
        <f>'MCS Budget - Detailed'!N159</f>
        <v>33</v>
      </c>
    </row>
    <row r="140" spans="1:5" x14ac:dyDescent="0.2">
      <c r="A140" s="496" t="s">
        <v>2005</v>
      </c>
      <c r="B140" s="496" t="s">
        <v>40</v>
      </c>
      <c r="C140" s="496" t="s">
        <v>1663</v>
      </c>
      <c r="D140" s="496" t="s">
        <v>1609</v>
      </c>
      <c r="E140" s="496">
        <f>'MCS Budget - Detailed'!N160</f>
        <v>69</v>
      </c>
    </row>
    <row r="141" spans="1:5" x14ac:dyDescent="0.2">
      <c r="A141" s="494" t="s">
        <v>2005</v>
      </c>
      <c r="B141" s="496" t="s">
        <v>40</v>
      </c>
      <c r="C141" s="496" t="s">
        <v>1664</v>
      </c>
      <c r="D141" s="496" t="s">
        <v>1609</v>
      </c>
      <c r="E141" s="496">
        <f>'MCS Budget - Detailed'!N161</f>
        <v>331</v>
      </c>
    </row>
    <row r="142" spans="1:5" x14ac:dyDescent="0.2">
      <c r="A142" s="496" t="s">
        <v>2005</v>
      </c>
      <c r="B142" s="496" t="s">
        <v>40</v>
      </c>
      <c r="C142" s="496" t="s">
        <v>1665</v>
      </c>
      <c r="D142" s="496" t="s">
        <v>1609</v>
      </c>
      <c r="E142" s="496">
        <f>'MCS Budget - Detailed'!N162</f>
        <v>4648</v>
      </c>
    </row>
    <row r="143" spans="1:5" x14ac:dyDescent="0.2">
      <c r="A143" s="494" t="s">
        <v>2005</v>
      </c>
      <c r="B143" s="496" t="s">
        <v>40</v>
      </c>
      <c r="C143" s="496" t="s">
        <v>1666</v>
      </c>
      <c r="D143" s="496" t="s">
        <v>1609</v>
      </c>
      <c r="E143" s="496">
        <f>'MCS Budget - Detailed'!N163</f>
        <v>3085</v>
      </c>
    </row>
    <row r="144" spans="1:5" x14ac:dyDescent="0.2">
      <c r="A144" s="496" t="s">
        <v>2005</v>
      </c>
      <c r="B144" s="496" t="s">
        <v>40</v>
      </c>
      <c r="C144" s="496" t="s">
        <v>2559</v>
      </c>
      <c r="D144" s="496" t="s">
        <v>1609</v>
      </c>
      <c r="E144" s="496">
        <f>'MCS Budget - Detailed'!N164</f>
        <v>605</v>
      </c>
    </row>
    <row r="145" spans="1:5" x14ac:dyDescent="0.2">
      <c r="A145" s="496" t="s">
        <v>2005</v>
      </c>
      <c r="B145" s="496" t="s">
        <v>40</v>
      </c>
      <c r="C145" s="496" t="s">
        <v>1667</v>
      </c>
      <c r="D145" s="496" t="s">
        <v>1609</v>
      </c>
      <c r="E145" s="496">
        <f>'MCS Budget - Detailed'!N165</f>
        <v>300</v>
      </c>
    </row>
    <row r="146" spans="1:5" x14ac:dyDescent="0.2">
      <c r="A146" s="494" t="s">
        <v>2005</v>
      </c>
      <c r="B146" s="496" t="s">
        <v>40</v>
      </c>
      <c r="C146" s="496" t="s">
        <v>1668</v>
      </c>
      <c r="D146" s="496" t="s">
        <v>1609</v>
      </c>
      <c r="E146" s="496">
        <f>'MCS Budget - Detailed'!N167</f>
        <v>11747</v>
      </c>
    </row>
    <row r="147" spans="1:5" x14ac:dyDescent="0.2">
      <c r="A147" s="496" t="s">
        <v>2005</v>
      </c>
      <c r="B147" s="496" t="s">
        <v>40</v>
      </c>
      <c r="C147" s="498" t="s">
        <v>1669</v>
      </c>
      <c r="D147" s="496" t="s">
        <v>1609</v>
      </c>
      <c r="E147" s="496">
        <f>'MCS Budget - Detailed'!N168</f>
        <v>300</v>
      </c>
    </row>
    <row r="148" spans="1:5" x14ac:dyDescent="0.2">
      <c r="A148" s="494" t="s">
        <v>2005</v>
      </c>
      <c r="B148" s="496" t="s">
        <v>40</v>
      </c>
      <c r="C148" s="568" t="s">
        <v>1672</v>
      </c>
      <c r="D148" s="496" t="s">
        <v>1609</v>
      </c>
      <c r="E148" s="496">
        <f>'MCS Budget - Detailed'!N169</f>
        <v>22</v>
      </c>
    </row>
    <row r="149" spans="1:5" x14ac:dyDescent="0.2">
      <c r="A149" s="496" t="s">
        <v>2005</v>
      </c>
      <c r="B149" s="496" t="s">
        <v>40</v>
      </c>
      <c r="C149" s="568" t="s">
        <v>1671</v>
      </c>
      <c r="D149" s="496" t="s">
        <v>1609</v>
      </c>
      <c r="E149" s="496">
        <f>'MCS Budget - Detailed'!N170</f>
        <v>36</v>
      </c>
    </row>
    <row r="150" spans="1:5" x14ac:dyDescent="0.2">
      <c r="A150" s="494" t="s">
        <v>2005</v>
      </c>
      <c r="B150" s="496" t="s">
        <v>40</v>
      </c>
      <c r="C150" s="568" t="s">
        <v>1674</v>
      </c>
      <c r="D150" s="496" t="s">
        <v>1609</v>
      </c>
      <c r="E150" s="496">
        <f>'MCS Budget - Detailed'!N171</f>
        <v>171</v>
      </c>
    </row>
    <row r="151" spans="1:5" x14ac:dyDescent="0.2">
      <c r="A151" s="496" t="s">
        <v>2005</v>
      </c>
      <c r="B151" s="496" t="s">
        <v>40</v>
      </c>
      <c r="C151" s="568" t="s">
        <v>1673</v>
      </c>
      <c r="D151" s="496" t="s">
        <v>1609</v>
      </c>
      <c r="E151" s="496">
        <f>'MCS Budget - Detailed'!N172</f>
        <v>2397</v>
      </c>
    </row>
    <row r="152" spans="1:5" x14ac:dyDescent="0.2">
      <c r="A152" s="494" t="s">
        <v>2005</v>
      </c>
      <c r="B152" s="496" t="s">
        <v>40</v>
      </c>
      <c r="C152" s="568" t="s">
        <v>1670</v>
      </c>
      <c r="D152" s="496" t="s">
        <v>1609</v>
      </c>
      <c r="E152" s="496">
        <f>'MCS Budget - Detailed'!N173</f>
        <v>2057</v>
      </c>
    </row>
    <row r="153" spans="1:5" x14ac:dyDescent="0.2">
      <c r="A153" s="496" t="s">
        <v>2005</v>
      </c>
      <c r="B153" s="496" t="s">
        <v>40</v>
      </c>
      <c r="C153" s="496" t="s">
        <v>2560</v>
      </c>
      <c r="D153" s="496" t="s">
        <v>1609</v>
      </c>
      <c r="E153" s="496">
        <f>'MCS Budget - Detailed'!N174</f>
        <v>362</v>
      </c>
    </row>
    <row r="154" spans="1:5" x14ac:dyDescent="0.2">
      <c r="A154" s="496" t="s">
        <v>2005</v>
      </c>
      <c r="B154" s="496" t="s">
        <v>40</v>
      </c>
      <c r="C154" s="496" t="s">
        <v>1675</v>
      </c>
      <c r="D154" s="496" t="s">
        <v>1609</v>
      </c>
      <c r="E154" s="496">
        <f>'MCS Budget - Detailed'!N175</f>
        <v>300</v>
      </c>
    </row>
    <row r="155" spans="1:5" x14ac:dyDescent="0.2">
      <c r="A155" s="494" t="s">
        <v>2005</v>
      </c>
      <c r="B155" s="496" t="s">
        <v>40</v>
      </c>
      <c r="C155" s="496" t="s">
        <v>1676</v>
      </c>
      <c r="D155" s="496" t="s">
        <v>1609</v>
      </c>
      <c r="E155" s="496">
        <f>'MCS Budget - Detailed'!N177</f>
        <v>16772</v>
      </c>
    </row>
    <row r="156" spans="1:5" x14ac:dyDescent="0.2">
      <c r="A156" s="496" t="s">
        <v>2005</v>
      </c>
      <c r="B156" s="496" t="s">
        <v>40</v>
      </c>
      <c r="C156" s="496" t="s">
        <v>1677</v>
      </c>
      <c r="D156" s="496" t="s">
        <v>1609</v>
      </c>
      <c r="E156" s="496">
        <f>'MCS Budget - Detailed'!N178</f>
        <v>450</v>
      </c>
    </row>
    <row r="157" spans="1:5" x14ac:dyDescent="0.2">
      <c r="A157" s="494" t="s">
        <v>2005</v>
      </c>
      <c r="B157" s="496" t="s">
        <v>40</v>
      </c>
      <c r="C157" s="496" t="s">
        <v>1678</v>
      </c>
      <c r="D157" s="496" t="s">
        <v>1609</v>
      </c>
      <c r="E157" s="496">
        <f>'MCS Budget - Detailed'!N179</f>
        <v>33</v>
      </c>
    </row>
    <row r="158" spans="1:5" x14ac:dyDescent="0.2">
      <c r="A158" s="496" t="s">
        <v>2005</v>
      </c>
      <c r="B158" s="496" t="s">
        <v>40</v>
      </c>
      <c r="C158" s="496" t="s">
        <v>1679</v>
      </c>
      <c r="D158" s="496" t="s">
        <v>1609</v>
      </c>
      <c r="E158" s="496">
        <f>'MCS Budget - Detailed'!N180</f>
        <v>52</v>
      </c>
    </row>
    <row r="159" spans="1:5" x14ac:dyDescent="0.2">
      <c r="A159" s="494" t="s">
        <v>2005</v>
      </c>
      <c r="B159" s="496" t="s">
        <v>40</v>
      </c>
      <c r="C159" s="496" t="s">
        <v>1680</v>
      </c>
      <c r="D159" s="496" t="s">
        <v>1609</v>
      </c>
      <c r="E159" s="496">
        <f>'MCS Budget - Detailed'!N181</f>
        <v>250</v>
      </c>
    </row>
    <row r="160" spans="1:5" x14ac:dyDescent="0.2">
      <c r="A160" s="496" t="s">
        <v>2005</v>
      </c>
      <c r="B160" s="496" t="s">
        <v>40</v>
      </c>
      <c r="C160" s="496" t="s">
        <v>1681</v>
      </c>
      <c r="D160" s="496" t="s">
        <v>1609</v>
      </c>
      <c r="E160" s="496">
        <f>'MCS Budget - Detailed'!N182</f>
        <v>3514</v>
      </c>
    </row>
    <row r="161" spans="1:5" x14ac:dyDescent="0.2">
      <c r="A161" s="494" t="s">
        <v>2005</v>
      </c>
      <c r="B161" s="496" t="s">
        <v>40</v>
      </c>
      <c r="C161" s="496" t="s">
        <v>1682</v>
      </c>
      <c r="D161" s="496" t="s">
        <v>1609</v>
      </c>
      <c r="E161" s="496">
        <f>'MCS Budget - Detailed'!N183</f>
        <v>3085</v>
      </c>
    </row>
    <row r="162" spans="1:5" x14ac:dyDescent="0.2">
      <c r="A162" s="496" t="s">
        <v>2005</v>
      </c>
      <c r="B162" s="496" t="s">
        <v>40</v>
      </c>
      <c r="C162" s="496" t="s">
        <v>2561</v>
      </c>
      <c r="D162" s="496" t="s">
        <v>1609</v>
      </c>
      <c r="E162" s="496">
        <f>'MCS Budget - Detailed'!N184</f>
        <v>516</v>
      </c>
    </row>
    <row r="163" spans="1:5" x14ac:dyDescent="0.2">
      <c r="A163" s="496" t="s">
        <v>2005</v>
      </c>
      <c r="B163" s="496" t="s">
        <v>40</v>
      </c>
      <c r="C163" s="496" t="s">
        <v>1683</v>
      </c>
      <c r="D163" s="496" t="s">
        <v>1609</v>
      </c>
      <c r="E163" s="496">
        <f>'MCS Budget - Detailed'!N186</f>
        <v>1500</v>
      </c>
    </row>
    <row r="164" spans="1:5" x14ac:dyDescent="0.2">
      <c r="A164" s="496" t="s">
        <v>2005</v>
      </c>
      <c r="B164" s="496" t="s">
        <v>40</v>
      </c>
      <c r="C164" s="496" t="s">
        <v>2032</v>
      </c>
      <c r="D164" s="496" t="s">
        <v>1609</v>
      </c>
      <c r="E164" s="496">
        <f>'MCS Budget - Detailed'!N188</f>
        <v>0</v>
      </c>
    </row>
    <row r="165" spans="1:5" x14ac:dyDescent="0.2">
      <c r="A165" s="496" t="s">
        <v>2005</v>
      </c>
      <c r="B165" s="496" t="s">
        <v>40</v>
      </c>
      <c r="C165" s="496" t="s">
        <v>2033</v>
      </c>
      <c r="D165" s="496" t="s">
        <v>1609</v>
      </c>
      <c r="E165" s="496">
        <f>'MCS Budget - Detailed'!N189</f>
        <v>0</v>
      </c>
    </row>
    <row r="166" spans="1:5" x14ac:dyDescent="0.2">
      <c r="A166" s="494" t="s">
        <v>2005</v>
      </c>
      <c r="B166" s="496" t="s">
        <v>40</v>
      </c>
      <c r="C166" s="496" t="s">
        <v>2034</v>
      </c>
      <c r="D166" s="496" t="s">
        <v>1609</v>
      </c>
      <c r="E166" s="496">
        <f>'MCS Budget - Detailed'!N190</f>
        <v>0</v>
      </c>
    </row>
    <row r="167" spans="1:5" x14ac:dyDescent="0.2">
      <c r="A167" s="496" t="s">
        <v>2005</v>
      </c>
      <c r="B167" s="496" t="s">
        <v>40</v>
      </c>
      <c r="C167" s="496" t="s">
        <v>2035</v>
      </c>
      <c r="D167" s="496" t="s">
        <v>1609</v>
      </c>
      <c r="E167" s="496">
        <f>'MCS Budget - Detailed'!N191</f>
        <v>0</v>
      </c>
    </row>
    <row r="168" spans="1:5" x14ac:dyDescent="0.2">
      <c r="A168" s="494" t="s">
        <v>2005</v>
      </c>
      <c r="B168" s="496" t="s">
        <v>40</v>
      </c>
      <c r="C168" s="496" t="s">
        <v>2036</v>
      </c>
      <c r="D168" s="496" t="s">
        <v>1609</v>
      </c>
      <c r="E168" s="496">
        <f>'MCS Budget - Detailed'!N192</f>
        <v>0</v>
      </c>
    </row>
    <row r="169" spans="1:5" x14ac:dyDescent="0.2">
      <c r="A169" s="496" t="s">
        <v>2005</v>
      </c>
      <c r="B169" s="496" t="s">
        <v>40</v>
      </c>
      <c r="C169" s="496" t="s">
        <v>2037</v>
      </c>
      <c r="D169" s="496" t="s">
        <v>1609</v>
      </c>
      <c r="E169" s="496">
        <f>'MCS Budget - Detailed'!N193</f>
        <v>0</v>
      </c>
    </row>
    <row r="170" spans="1:5" x14ac:dyDescent="0.2">
      <c r="A170" s="496" t="s">
        <v>2005</v>
      </c>
      <c r="B170" s="496" t="s">
        <v>40</v>
      </c>
      <c r="C170" s="496" t="s">
        <v>2038</v>
      </c>
      <c r="D170" s="496" t="s">
        <v>1609</v>
      </c>
      <c r="E170" s="496">
        <f>'MCS Budget - Detailed'!N194</f>
        <v>0</v>
      </c>
    </row>
    <row r="171" spans="1:5" x14ac:dyDescent="0.2">
      <c r="A171" s="494" t="s">
        <v>2005</v>
      </c>
      <c r="B171" s="496" t="s">
        <v>40</v>
      </c>
      <c r="C171" s="496" t="s">
        <v>2039</v>
      </c>
      <c r="D171" s="496" t="s">
        <v>1609</v>
      </c>
      <c r="E171" s="496">
        <f>'MCS Budget - Detailed'!N195</f>
        <v>0</v>
      </c>
    </row>
    <row r="172" spans="1:5" x14ac:dyDescent="0.2">
      <c r="A172" s="496" t="s">
        <v>2005</v>
      </c>
      <c r="B172" s="496" t="s">
        <v>40</v>
      </c>
      <c r="C172" s="496" t="s">
        <v>2040</v>
      </c>
      <c r="D172" s="496" t="s">
        <v>1609</v>
      </c>
      <c r="E172" s="496">
        <f>'MCS Budget - Detailed'!N197</f>
        <v>6015</v>
      </c>
    </row>
    <row r="173" spans="1:5" x14ac:dyDescent="0.2">
      <c r="A173" s="496" t="s">
        <v>2005</v>
      </c>
      <c r="B173" s="496" t="s">
        <v>40</v>
      </c>
      <c r="C173" s="496" t="s">
        <v>2041</v>
      </c>
      <c r="D173" s="496" t="s">
        <v>1609</v>
      </c>
      <c r="E173" s="496">
        <f>'MCS Budget - Detailed'!N198</f>
        <v>150</v>
      </c>
    </row>
    <row r="174" spans="1:5" x14ac:dyDescent="0.2">
      <c r="A174" s="494" t="s">
        <v>2005</v>
      </c>
      <c r="B174" s="496" t="s">
        <v>40</v>
      </c>
      <c r="C174" s="496" t="s">
        <v>2042</v>
      </c>
      <c r="D174" s="496" t="s">
        <v>1609</v>
      </c>
      <c r="E174" s="496">
        <f>'MCS Budget - Detailed'!N199</f>
        <v>11</v>
      </c>
    </row>
    <row r="175" spans="1:5" x14ac:dyDescent="0.2">
      <c r="A175" s="496" t="s">
        <v>2005</v>
      </c>
      <c r="B175" s="496" t="s">
        <v>40</v>
      </c>
      <c r="C175" s="496" t="s">
        <v>2043</v>
      </c>
      <c r="D175" s="496" t="s">
        <v>1609</v>
      </c>
      <c r="E175" s="496">
        <f>'MCS Budget - Detailed'!N200</f>
        <v>19</v>
      </c>
    </row>
    <row r="176" spans="1:5" x14ac:dyDescent="0.2">
      <c r="A176" s="494" t="s">
        <v>2005</v>
      </c>
      <c r="B176" s="496" t="s">
        <v>40</v>
      </c>
      <c r="C176" s="496" t="s">
        <v>2044</v>
      </c>
      <c r="D176" s="496" t="s">
        <v>1609</v>
      </c>
      <c r="E176" s="496">
        <f>'MCS Budget - Detailed'!N201</f>
        <v>90</v>
      </c>
    </row>
    <row r="177" spans="1:5" x14ac:dyDescent="0.2">
      <c r="A177" s="496" t="s">
        <v>2005</v>
      </c>
      <c r="B177" s="496" t="s">
        <v>40</v>
      </c>
      <c r="C177" s="496" t="s">
        <v>2045</v>
      </c>
      <c r="D177" s="496" t="s">
        <v>1609</v>
      </c>
      <c r="E177" s="496">
        <f>'MCS Budget - Detailed'!N202</f>
        <v>1258</v>
      </c>
    </row>
    <row r="178" spans="1:5" x14ac:dyDescent="0.2">
      <c r="A178" s="496" t="s">
        <v>2005</v>
      </c>
      <c r="B178" s="496" t="s">
        <v>40</v>
      </c>
      <c r="C178" s="496" t="s">
        <v>2046</v>
      </c>
      <c r="D178" s="496" t="s">
        <v>1609</v>
      </c>
      <c r="E178" s="496">
        <f>'MCS Budget - Detailed'!N203</f>
        <v>1029</v>
      </c>
    </row>
    <row r="179" spans="1:5" x14ac:dyDescent="0.2">
      <c r="A179" s="494" t="s">
        <v>2005</v>
      </c>
      <c r="B179" s="496" t="s">
        <v>40</v>
      </c>
      <c r="C179" s="496" t="s">
        <v>2562</v>
      </c>
      <c r="D179" s="496" t="s">
        <v>1609</v>
      </c>
      <c r="E179" s="496">
        <f>'MCS Budget - Detailed'!N204</f>
        <v>185</v>
      </c>
    </row>
    <row r="180" spans="1:5" x14ac:dyDescent="0.2">
      <c r="A180" s="494" t="s">
        <v>2005</v>
      </c>
      <c r="B180" s="496" t="s">
        <v>40</v>
      </c>
      <c r="C180" s="496" t="s">
        <v>2047</v>
      </c>
      <c r="D180" s="496" t="s">
        <v>1609</v>
      </c>
      <c r="E180" s="496">
        <f>'MCS Budget - Detailed'!N205</f>
        <v>300</v>
      </c>
    </row>
    <row r="181" spans="1:5" x14ac:dyDescent="0.2">
      <c r="A181" s="494" t="s">
        <v>2005</v>
      </c>
      <c r="B181" s="496" t="s">
        <v>40</v>
      </c>
      <c r="C181" s="496" t="s">
        <v>1684</v>
      </c>
      <c r="D181" s="496" t="s">
        <v>1609</v>
      </c>
      <c r="E181" s="568">
        <f>'MCS Budget - Detailed'!N207</f>
        <v>7250</v>
      </c>
    </row>
    <row r="182" spans="1:5" x14ac:dyDescent="0.2">
      <c r="A182" s="496" t="s">
        <v>2005</v>
      </c>
      <c r="B182" s="496" t="s">
        <v>40</v>
      </c>
      <c r="C182" s="496" t="s">
        <v>1685</v>
      </c>
      <c r="D182" s="496" t="s">
        <v>1609</v>
      </c>
      <c r="E182" s="568">
        <f>'MCS Budget - Detailed'!N208</f>
        <v>22</v>
      </c>
    </row>
    <row r="183" spans="1:5" x14ac:dyDescent="0.2">
      <c r="A183" s="494" t="s">
        <v>2005</v>
      </c>
      <c r="B183" s="496" t="s">
        <v>40</v>
      </c>
      <c r="C183" s="496" t="s">
        <v>1686</v>
      </c>
      <c r="D183" s="496" t="s">
        <v>1609</v>
      </c>
      <c r="E183" s="568">
        <f>'MCS Budget - Detailed'!N209</f>
        <v>106</v>
      </c>
    </row>
    <row r="184" spans="1:5" x14ac:dyDescent="0.2">
      <c r="A184" s="496" t="s">
        <v>2005</v>
      </c>
      <c r="B184" s="496" t="s">
        <v>40</v>
      </c>
      <c r="C184" s="496" t="s">
        <v>1687</v>
      </c>
      <c r="D184" s="496" t="s">
        <v>1609</v>
      </c>
      <c r="E184" s="568">
        <f>'MCS Budget - Detailed'!N210</f>
        <v>1479</v>
      </c>
    </row>
    <row r="185" spans="1:5" x14ac:dyDescent="0.2">
      <c r="A185" s="494" t="s">
        <v>2005</v>
      </c>
      <c r="B185" s="496" t="s">
        <v>40</v>
      </c>
      <c r="C185" s="496" t="s">
        <v>1688</v>
      </c>
      <c r="D185" s="496" t="s">
        <v>1609</v>
      </c>
      <c r="E185" s="568">
        <f>'MCS Budget - Detailed'!N211</f>
        <v>1500</v>
      </c>
    </row>
    <row r="186" spans="1:5" x14ac:dyDescent="0.2">
      <c r="A186" s="494" t="s">
        <v>2005</v>
      </c>
      <c r="B186" s="496" t="s">
        <v>40</v>
      </c>
      <c r="C186" s="496" t="s">
        <v>2048</v>
      </c>
      <c r="D186" s="496" t="s">
        <v>1609</v>
      </c>
      <c r="E186" s="568">
        <f>'MCS Budget - Detailed'!N212</f>
        <v>200</v>
      </c>
    </row>
    <row r="187" spans="1:5" x14ac:dyDescent="0.2">
      <c r="A187" s="494" t="s">
        <v>2005</v>
      </c>
      <c r="B187" s="496" t="s">
        <v>40</v>
      </c>
      <c r="C187" s="496" t="s">
        <v>2049</v>
      </c>
      <c r="D187" s="496" t="s">
        <v>1609</v>
      </c>
      <c r="E187" s="568">
        <f>'MCS Budget - Detailed'!N213</f>
        <v>520</v>
      </c>
    </row>
    <row r="188" spans="1:5" x14ac:dyDescent="0.2">
      <c r="A188" s="494" t="s">
        <v>2005</v>
      </c>
      <c r="B188" s="496" t="s">
        <v>40</v>
      </c>
      <c r="C188" s="496" t="s">
        <v>2050</v>
      </c>
      <c r="D188" s="496" t="s">
        <v>1609</v>
      </c>
      <c r="E188" s="568">
        <f>'MCS Budget - Detailed'!N214</f>
        <v>400</v>
      </c>
    </row>
    <row r="189" spans="1:5" x14ac:dyDescent="0.2">
      <c r="A189" s="494" t="s">
        <v>2005</v>
      </c>
      <c r="B189" s="496" t="s">
        <v>40</v>
      </c>
      <c r="C189" s="496" t="s">
        <v>2051</v>
      </c>
      <c r="D189" s="496" t="s">
        <v>1609</v>
      </c>
      <c r="E189" s="568">
        <f>'MCS Budget - Detailed'!N215</f>
        <v>4662</v>
      </c>
    </row>
    <row r="190" spans="1:5" x14ac:dyDescent="0.2">
      <c r="A190" s="494" t="s">
        <v>2005</v>
      </c>
      <c r="B190" s="496" t="s">
        <v>40</v>
      </c>
      <c r="C190" s="496" t="s">
        <v>2052</v>
      </c>
      <c r="D190" s="496" t="s">
        <v>1609</v>
      </c>
      <c r="E190" s="568">
        <f>'MCS Budget - Detailed'!N216</f>
        <v>1000</v>
      </c>
    </row>
    <row r="191" spans="1:5" x14ac:dyDescent="0.2">
      <c r="A191" s="496" t="s">
        <v>2005</v>
      </c>
      <c r="B191" s="496" t="s">
        <v>40</v>
      </c>
      <c r="C191" s="496" t="s">
        <v>2053</v>
      </c>
      <c r="D191" s="496" t="s">
        <v>1609</v>
      </c>
      <c r="E191" s="496">
        <f>'MCS Budget - Detailed'!N219</f>
        <v>3938</v>
      </c>
    </row>
    <row r="192" spans="1:5" x14ac:dyDescent="0.2">
      <c r="A192" s="494" t="s">
        <v>2005</v>
      </c>
      <c r="B192" s="496" t="s">
        <v>40</v>
      </c>
      <c r="C192" s="496" t="s">
        <v>2054</v>
      </c>
      <c r="D192" s="496" t="s">
        <v>1609</v>
      </c>
      <c r="E192" s="496">
        <f>'MCS Budget - Detailed'!N220</f>
        <v>150</v>
      </c>
    </row>
    <row r="193" spans="1:5" x14ac:dyDescent="0.2">
      <c r="A193" s="496" t="s">
        <v>2005</v>
      </c>
      <c r="B193" s="496" t="s">
        <v>40</v>
      </c>
      <c r="C193" s="496" t="s">
        <v>2055</v>
      </c>
      <c r="D193" s="496" t="s">
        <v>1609</v>
      </c>
      <c r="E193" s="496">
        <f>'MCS Budget - Detailed'!N221</f>
        <v>11</v>
      </c>
    </row>
    <row r="194" spans="1:5" x14ac:dyDescent="0.2">
      <c r="A194" s="494" t="s">
        <v>2005</v>
      </c>
      <c r="B194" s="496" t="s">
        <v>40</v>
      </c>
      <c r="C194" s="496" t="s">
        <v>2056</v>
      </c>
      <c r="D194" s="496" t="s">
        <v>1609</v>
      </c>
      <c r="E194" s="496">
        <f>'MCS Budget - Detailed'!N222</f>
        <v>13</v>
      </c>
    </row>
    <row r="195" spans="1:5" x14ac:dyDescent="0.2">
      <c r="A195" s="496" t="s">
        <v>2005</v>
      </c>
      <c r="B195" s="496" t="s">
        <v>40</v>
      </c>
      <c r="C195" s="496" t="s">
        <v>2057</v>
      </c>
      <c r="D195" s="496" t="s">
        <v>1609</v>
      </c>
      <c r="E195" s="496">
        <f>'MCS Budget - Detailed'!N223</f>
        <v>60</v>
      </c>
    </row>
    <row r="196" spans="1:5" x14ac:dyDescent="0.2">
      <c r="A196" s="494" t="s">
        <v>2005</v>
      </c>
      <c r="B196" s="496" t="s">
        <v>40</v>
      </c>
      <c r="C196" s="496" t="s">
        <v>2058</v>
      </c>
      <c r="D196" s="496" t="s">
        <v>1609</v>
      </c>
      <c r="E196" s="496">
        <f>'MCS Budget - Detailed'!N224</f>
        <v>841</v>
      </c>
    </row>
    <row r="197" spans="1:5" x14ac:dyDescent="0.2">
      <c r="A197" s="496" t="s">
        <v>2005</v>
      </c>
      <c r="B197" s="496" t="s">
        <v>40</v>
      </c>
      <c r="C197" s="496" t="s">
        <v>2059</v>
      </c>
      <c r="D197" s="496" t="s">
        <v>1609</v>
      </c>
      <c r="E197" s="496">
        <f>'MCS Budget - Detailed'!N225</f>
        <v>1029</v>
      </c>
    </row>
    <row r="198" spans="1:5" x14ac:dyDescent="0.2">
      <c r="A198" s="494" t="s">
        <v>2005</v>
      </c>
      <c r="B198" s="496" t="s">
        <v>40</v>
      </c>
      <c r="C198" s="496" t="s">
        <v>2563</v>
      </c>
      <c r="D198" s="496" t="s">
        <v>1609</v>
      </c>
      <c r="E198" s="496">
        <f>'MCS Budget - Detailed'!N226</f>
        <v>123</v>
      </c>
    </row>
    <row r="199" spans="1:5" x14ac:dyDescent="0.2">
      <c r="A199" s="494" t="s">
        <v>2005</v>
      </c>
      <c r="B199" s="496" t="s">
        <v>40</v>
      </c>
      <c r="C199" s="496" t="s">
        <v>2060</v>
      </c>
      <c r="D199" s="496" t="s">
        <v>1609</v>
      </c>
      <c r="E199" s="496">
        <f>'MCS Budget - Detailed'!N227</f>
        <v>300</v>
      </c>
    </row>
    <row r="200" spans="1:5" x14ac:dyDescent="0.2">
      <c r="A200" s="496" t="s">
        <v>2005</v>
      </c>
      <c r="B200" s="496" t="s">
        <v>40</v>
      </c>
      <c r="C200" s="496" t="s">
        <v>1689</v>
      </c>
      <c r="D200" s="496" t="s">
        <v>1609</v>
      </c>
      <c r="E200" s="496">
        <f>'MCS Budget - Detailed'!N229</f>
        <v>27510</v>
      </c>
    </row>
    <row r="201" spans="1:5" x14ac:dyDescent="0.2">
      <c r="A201" s="494" t="s">
        <v>2005</v>
      </c>
      <c r="B201" s="496" t="s">
        <v>40</v>
      </c>
      <c r="C201" s="496" t="s">
        <v>1690</v>
      </c>
      <c r="D201" s="496" t="s">
        <v>1609</v>
      </c>
      <c r="E201" s="496">
        <f>'MCS Budget - Detailed'!N230</f>
        <v>600</v>
      </c>
    </row>
    <row r="202" spans="1:5" x14ac:dyDescent="0.2">
      <c r="A202" s="496" t="s">
        <v>2005</v>
      </c>
      <c r="B202" s="496" t="s">
        <v>40</v>
      </c>
      <c r="C202" s="496" t="s">
        <v>1691</v>
      </c>
      <c r="D202" s="496" t="s">
        <v>1609</v>
      </c>
      <c r="E202" s="496">
        <f>'MCS Budget - Detailed'!N231</f>
        <v>22</v>
      </c>
    </row>
    <row r="203" spans="1:5" x14ac:dyDescent="0.2">
      <c r="A203" s="494" t="s">
        <v>2005</v>
      </c>
      <c r="B203" s="496" t="s">
        <v>40</v>
      </c>
      <c r="C203" s="496" t="s">
        <v>1692</v>
      </c>
      <c r="D203" s="496" t="s">
        <v>1609</v>
      </c>
      <c r="E203" s="496">
        <f>'MCS Budget - Detailed'!N232</f>
        <v>85</v>
      </c>
    </row>
    <row r="204" spans="1:5" x14ac:dyDescent="0.2">
      <c r="A204" s="496" t="s">
        <v>2005</v>
      </c>
      <c r="B204" s="496" t="s">
        <v>40</v>
      </c>
      <c r="C204" s="496" t="s">
        <v>1693</v>
      </c>
      <c r="D204" s="496" t="s">
        <v>1609</v>
      </c>
      <c r="E204" s="496">
        <f>'MCS Budget - Detailed'!N233</f>
        <v>408</v>
      </c>
    </row>
    <row r="205" spans="1:5" x14ac:dyDescent="0.2">
      <c r="A205" s="494" t="s">
        <v>2005</v>
      </c>
      <c r="B205" s="496" t="s">
        <v>40</v>
      </c>
      <c r="C205" s="496" t="s">
        <v>1694</v>
      </c>
      <c r="D205" s="496" t="s">
        <v>1609</v>
      </c>
      <c r="E205" s="496">
        <f>'MCS Budget - Detailed'!N234</f>
        <v>5735</v>
      </c>
    </row>
    <row r="206" spans="1:5" x14ac:dyDescent="0.2">
      <c r="A206" s="496" t="s">
        <v>2005</v>
      </c>
      <c r="B206" s="496" t="s">
        <v>40</v>
      </c>
      <c r="C206" s="496" t="s">
        <v>1695</v>
      </c>
      <c r="D206" s="496" t="s">
        <v>1609</v>
      </c>
      <c r="E206" s="496">
        <f>'MCS Budget - Detailed'!N235</f>
        <v>4113</v>
      </c>
    </row>
    <row r="207" spans="1:5" x14ac:dyDescent="0.2">
      <c r="A207" s="494" t="s">
        <v>2005</v>
      </c>
      <c r="B207" s="496" t="s">
        <v>40</v>
      </c>
      <c r="C207" s="496" t="s">
        <v>2564</v>
      </c>
      <c r="D207" s="496" t="s">
        <v>1609</v>
      </c>
      <c r="E207" s="496">
        <f>'MCS Budget - Detailed'!N236</f>
        <v>844</v>
      </c>
    </row>
    <row r="208" spans="1:5" x14ac:dyDescent="0.2">
      <c r="A208" s="494" t="s">
        <v>2005</v>
      </c>
      <c r="B208" s="496" t="s">
        <v>40</v>
      </c>
      <c r="C208" s="496" t="s">
        <v>1696</v>
      </c>
      <c r="D208" s="496" t="s">
        <v>1609</v>
      </c>
      <c r="E208" s="496">
        <f>'MCS Budget - Detailed'!N237</f>
        <v>400</v>
      </c>
    </row>
    <row r="209" spans="1:5" x14ac:dyDescent="0.2">
      <c r="A209" s="496" t="s">
        <v>2005</v>
      </c>
      <c r="B209" s="496" t="s">
        <v>40</v>
      </c>
      <c r="C209" s="496" t="s">
        <v>1697</v>
      </c>
      <c r="D209" s="496" t="s">
        <v>1609</v>
      </c>
      <c r="E209" s="496">
        <f>'MCS Budget - Detailed'!N240</f>
        <v>18045</v>
      </c>
    </row>
    <row r="210" spans="1:5" x14ac:dyDescent="0.2">
      <c r="A210" s="494" t="s">
        <v>2005</v>
      </c>
      <c r="B210" s="496" t="s">
        <v>40</v>
      </c>
      <c r="C210" s="496" t="s">
        <v>1698</v>
      </c>
      <c r="D210" s="496" t="s">
        <v>1609</v>
      </c>
      <c r="E210" s="496">
        <f>'MCS Budget - Detailed'!N241</f>
        <v>450</v>
      </c>
    </row>
    <row r="211" spans="1:5" x14ac:dyDescent="0.2">
      <c r="A211" s="496" t="s">
        <v>2005</v>
      </c>
      <c r="B211" s="496" t="s">
        <v>40</v>
      </c>
      <c r="C211" s="496" t="s">
        <v>1699</v>
      </c>
      <c r="D211" s="496" t="s">
        <v>1609</v>
      </c>
      <c r="E211" s="496">
        <f>'MCS Budget - Detailed'!N242</f>
        <v>33</v>
      </c>
    </row>
    <row r="212" spans="1:5" x14ac:dyDescent="0.2">
      <c r="A212" s="494" t="s">
        <v>2005</v>
      </c>
      <c r="B212" s="496" t="s">
        <v>40</v>
      </c>
      <c r="C212" s="496" t="s">
        <v>1700</v>
      </c>
      <c r="D212" s="496" t="s">
        <v>1609</v>
      </c>
      <c r="E212" s="496">
        <f>'MCS Budget - Detailed'!N243</f>
        <v>56</v>
      </c>
    </row>
    <row r="213" spans="1:5" x14ac:dyDescent="0.2">
      <c r="A213" s="496" t="s">
        <v>2005</v>
      </c>
      <c r="B213" s="496" t="s">
        <v>40</v>
      </c>
      <c r="C213" s="496" t="s">
        <v>1701</v>
      </c>
      <c r="D213" s="496" t="s">
        <v>1609</v>
      </c>
      <c r="E213" s="496">
        <f>'MCS Budget - Detailed'!N244</f>
        <v>269</v>
      </c>
    </row>
    <row r="214" spans="1:5" x14ac:dyDescent="0.2">
      <c r="A214" s="494" t="s">
        <v>2005</v>
      </c>
      <c r="B214" s="496" t="s">
        <v>40</v>
      </c>
      <c r="C214" s="496" t="s">
        <v>1702</v>
      </c>
      <c r="D214" s="496" t="s">
        <v>1609</v>
      </c>
      <c r="E214" s="496">
        <f>'MCS Budget - Detailed'!N245</f>
        <v>3773</v>
      </c>
    </row>
    <row r="215" spans="1:5" x14ac:dyDescent="0.2">
      <c r="A215" s="496" t="s">
        <v>2005</v>
      </c>
      <c r="B215" s="496" t="s">
        <v>40</v>
      </c>
      <c r="C215" s="496" t="s">
        <v>1703</v>
      </c>
      <c r="D215" s="496" t="s">
        <v>1609</v>
      </c>
      <c r="E215" s="496">
        <f>'MCS Budget - Detailed'!N246</f>
        <v>3085</v>
      </c>
    </row>
    <row r="216" spans="1:5" x14ac:dyDescent="0.2">
      <c r="A216" s="494" t="s">
        <v>2005</v>
      </c>
      <c r="B216" s="496" t="s">
        <v>40</v>
      </c>
      <c r="C216" s="496" t="s">
        <v>2565</v>
      </c>
      <c r="D216" s="496" t="s">
        <v>1609</v>
      </c>
      <c r="E216" s="496">
        <f>'MCS Budget - Detailed'!N247</f>
        <v>555</v>
      </c>
    </row>
    <row r="217" spans="1:5" x14ac:dyDescent="0.2">
      <c r="A217" s="494" t="s">
        <v>2005</v>
      </c>
      <c r="B217" s="496" t="s">
        <v>40</v>
      </c>
      <c r="C217" s="496" t="s">
        <v>1704</v>
      </c>
      <c r="D217" s="496" t="s">
        <v>1609</v>
      </c>
      <c r="E217" s="496">
        <f>'MCS Budget - Detailed'!N248</f>
        <v>300</v>
      </c>
    </row>
    <row r="218" spans="1:5" x14ac:dyDescent="0.2">
      <c r="A218" s="494" t="s">
        <v>2005</v>
      </c>
      <c r="B218" s="496" t="s">
        <v>40</v>
      </c>
      <c r="C218" s="496" t="s">
        <v>2566</v>
      </c>
      <c r="D218" s="496" t="s">
        <v>1609</v>
      </c>
      <c r="E218" s="496">
        <f>'MCS Budget - Detailed'!N258</f>
        <v>300</v>
      </c>
    </row>
    <row r="219" spans="1:5" x14ac:dyDescent="0.2">
      <c r="A219" s="496" t="s">
        <v>2005</v>
      </c>
      <c r="B219" s="496" t="s">
        <v>40</v>
      </c>
      <c r="C219" s="496" t="s">
        <v>2567</v>
      </c>
      <c r="D219" s="496" t="s">
        <v>1609</v>
      </c>
      <c r="E219" s="496">
        <f>'MCS Budget - Detailed'!N260</f>
        <v>12275</v>
      </c>
    </row>
    <row r="220" spans="1:5" x14ac:dyDescent="0.2">
      <c r="A220" s="496" t="s">
        <v>2005</v>
      </c>
      <c r="B220" s="496" t="s">
        <v>40</v>
      </c>
      <c r="C220" s="496" t="s">
        <v>1705</v>
      </c>
      <c r="D220" s="496" t="s">
        <v>1609</v>
      </c>
      <c r="E220" s="496">
        <f>'MCS Budget - Detailed'!N261</f>
        <v>0</v>
      </c>
    </row>
    <row r="221" spans="1:5" x14ac:dyDescent="0.2">
      <c r="A221" s="494" t="s">
        <v>2005</v>
      </c>
      <c r="B221" s="496" t="s">
        <v>40</v>
      </c>
      <c r="C221" s="496" t="s">
        <v>2568</v>
      </c>
      <c r="D221" s="496" t="s">
        <v>1609</v>
      </c>
      <c r="E221" s="496">
        <f>'MCS Budget - Detailed'!N262</f>
        <v>300</v>
      </c>
    </row>
    <row r="222" spans="1:5" x14ac:dyDescent="0.2">
      <c r="A222" s="494" t="s">
        <v>2005</v>
      </c>
      <c r="B222" s="496" t="s">
        <v>40</v>
      </c>
      <c r="C222" s="496" t="s">
        <v>1706</v>
      </c>
      <c r="D222" s="496" t="s">
        <v>1609</v>
      </c>
      <c r="E222" s="496">
        <f>'MCS Budget - Detailed'!N263</f>
        <v>0</v>
      </c>
    </row>
    <row r="223" spans="1:5" x14ac:dyDescent="0.2">
      <c r="A223" s="496" t="s">
        <v>2005</v>
      </c>
      <c r="B223" s="496" t="s">
        <v>40</v>
      </c>
      <c r="C223" s="496" t="s">
        <v>2569</v>
      </c>
      <c r="D223" s="496" t="s">
        <v>1609</v>
      </c>
      <c r="E223" s="496">
        <f>'MCS Budget - Detailed'!N264</f>
        <v>22</v>
      </c>
    </row>
    <row r="224" spans="1:5" x14ac:dyDescent="0.2">
      <c r="A224" s="496" t="s">
        <v>2005</v>
      </c>
      <c r="B224" s="496" t="s">
        <v>40</v>
      </c>
      <c r="C224" s="496" t="s">
        <v>1707</v>
      </c>
      <c r="D224" s="496" t="s">
        <v>1609</v>
      </c>
      <c r="E224" s="496">
        <f>'MCS Budget - Detailed'!N265</f>
        <v>0</v>
      </c>
    </row>
    <row r="225" spans="1:5" x14ac:dyDescent="0.2">
      <c r="A225" s="494" t="s">
        <v>2005</v>
      </c>
      <c r="B225" s="496" t="s">
        <v>40</v>
      </c>
      <c r="C225" s="496" t="s">
        <v>2570</v>
      </c>
      <c r="D225" s="496" t="s">
        <v>1609</v>
      </c>
      <c r="E225" s="496">
        <f>'MCS Budget - Detailed'!N266</f>
        <v>38</v>
      </c>
    </row>
    <row r="226" spans="1:5" x14ac:dyDescent="0.2">
      <c r="A226" s="494" t="s">
        <v>2005</v>
      </c>
      <c r="B226" s="496" t="s">
        <v>40</v>
      </c>
      <c r="C226" s="496" t="s">
        <v>1708</v>
      </c>
      <c r="D226" s="496" t="s">
        <v>1609</v>
      </c>
      <c r="E226" s="496">
        <f>'MCS Budget - Detailed'!N267</f>
        <v>0</v>
      </c>
    </row>
    <row r="227" spans="1:5" x14ac:dyDescent="0.2">
      <c r="A227" s="496" t="s">
        <v>2005</v>
      </c>
      <c r="B227" s="496" t="s">
        <v>40</v>
      </c>
      <c r="C227" s="496" t="s">
        <v>2571</v>
      </c>
      <c r="D227" s="496" t="s">
        <v>1609</v>
      </c>
      <c r="E227" s="496">
        <f>'MCS Budget - Detailed'!N268</f>
        <v>184</v>
      </c>
    </row>
    <row r="228" spans="1:5" x14ac:dyDescent="0.2">
      <c r="A228" s="496" t="s">
        <v>2005</v>
      </c>
      <c r="B228" s="496" t="s">
        <v>40</v>
      </c>
      <c r="C228" s="496" t="s">
        <v>1709</v>
      </c>
      <c r="D228" s="496" t="s">
        <v>1609</v>
      </c>
      <c r="E228" s="496">
        <f>'MCS Budget - Detailed'!N269</f>
        <v>0</v>
      </c>
    </row>
    <row r="229" spans="1:5" x14ac:dyDescent="0.2">
      <c r="A229" s="494" t="s">
        <v>2005</v>
      </c>
      <c r="B229" s="496" t="s">
        <v>40</v>
      </c>
      <c r="C229" s="496" t="s">
        <v>2572</v>
      </c>
      <c r="D229" s="496" t="s">
        <v>1609</v>
      </c>
      <c r="E229" s="496">
        <f>'MCS Budget - Detailed'!N270</f>
        <v>2566</v>
      </c>
    </row>
    <row r="230" spans="1:5" x14ac:dyDescent="0.2">
      <c r="A230" s="494" t="s">
        <v>2005</v>
      </c>
      <c r="B230" s="496" t="s">
        <v>40</v>
      </c>
      <c r="C230" s="496" t="s">
        <v>1710</v>
      </c>
      <c r="D230" s="496" t="s">
        <v>1609</v>
      </c>
      <c r="E230" s="496">
        <f>'MCS Budget - Detailed'!N271</f>
        <v>0</v>
      </c>
    </row>
    <row r="231" spans="1:5" x14ac:dyDescent="0.2">
      <c r="A231" s="496" t="s">
        <v>2005</v>
      </c>
      <c r="B231" s="496" t="s">
        <v>40</v>
      </c>
      <c r="C231" s="496" t="s">
        <v>2573</v>
      </c>
      <c r="D231" s="496" t="s">
        <v>1609</v>
      </c>
      <c r="E231" s="496">
        <f>'MCS Budget - Detailed'!N272</f>
        <v>2057</v>
      </c>
    </row>
    <row r="232" spans="1:5" x14ac:dyDescent="0.2">
      <c r="A232" s="496" t="s">
        <v>2005</v>
      </c>
      <c r="B232" s="496" t="s">
        <v>40</v>
      </c>
      <c r="C232" s="496" t="s">
        <v>1711</v>
      </c>
      <c r="D232" s="496" t="s">
        <v>1609</v>
      </c>
      <c r="E232" s="496">
        <f>'MCS Budget - Detailed'!N273</f>
        <v>0</v>
      </c>
    </row>
    <row r="233" spans="1:5" x14ac:dyDescent="0.2">
      <c r="A233" s="494" t="s">
        <v>2005</v>
      </c>
      <c r="B233" s="496" t="s">
        <v>40</v>
      </c>
      <c r="C233" s="496" t="s">
        <v>2578</v>
      </c>
      <c r="D233" s="496" t="s">
        <v>1609</v>
      </c>
      <c r="E233" s="496">
        <f>'MCS Budget - Detailed'!N274</f>
        <v>378</v>
      </c>
    </row>
    <row r="234" spans="1:5" x14ac:dyDescent="0.2">
      <c r="A234" s="494" t="s">
        <v>2005</v>
      </c>
      <c r="B234" s="496" t="s">
        <v>40</v>
      </c>
      <c r="C234" s="496" t="s">
        <v>2574</v>
      </c>
      <c r="D234" s="496" t="s">
        <v>1609</v>
      </c>
      <c r="E234" s="496">
        <f>'MCS Budget - Detailed'!N275</f>
        <v>900</v>
      </c>
    </row>
    <row r="235" spans="1:5" x14ac:dyDescent="0.2">
      <c r="A235" s="494" t="s">
        <v>2005</v>
      </c>
      <c r="B235" s="496" t="s">
        <v>40</v>
      </c>
      <c r="C235" s="496" t="s">
        <v>1712</v>
      </c>
      <c r="D235" s="496" t="s">
        <v>1609</v>
      </c>
      <c r="E235" s="496">
        <f>'MCS Budget - Detailed'!N276</f>
        <v>0</v>
      </c>
    </row>
    <row r="236" spans="1:5" x14ac:dyDescent="0.2">
      <c r="A236" s="496" t="s">
        <v>2005</v>
      </c>
      <c r="B236" s="496" t="s">
        <v>40</v>
      </c>
      <c r="C236" s="496" t="s">
        <v>2575</v>
      </c>
      <c r="D236" s="496" t="s">
        <v>1609</v>
      </c>
      <c r="E236" s="496">
        <f>'MCS Budget - Detailed'!N277</f>
        <v>1000</v>
      </c>
    </row>
    <row r="237" spans="1:5" x14ac:dyDescent="0.2">
      <c r="A237" s="496" t="s">
        <v>2005</v>
      </c>
      <c r="B237" s="496" t="s">
        <v>40</v>
      </c>
      <c r="C237" s="496" t="s">
        <v>2061</v>
      </c>
      <c r="D237" s="496" t="s">
        <v>1609</v>
      </c>
      <c r="E237" s="496">
        <f>'MCS Budget - Detailed'!N278</f>
        <v>0</v>
      </c>
    </row>
    <row r="238" spans="1:5" x14ac:dyDescent="0.2">
      <c r="A238" s="496" t="s">
        <v>2005</v>
      </c>
      <c r="B238" s="496" t="s">
        <v>40</v>
      </c>
      <c r="C238" s="496" t="s">
        <v>2576</v>
      </c>
      <c r="D238" s="496" t="s">
        <v>1609</v>
      </c>
      <c r="E238" s="496">
        <f>'MCS Budget - Detailed'!N279</f>
        <v>2000</v>
      </c>
    </row>
    <row r="239" spans="1:5" x14ac:dyDescent="0.2">
      <c r="A239" s="496" t="s">
        <v>2005</v>
      </c>
      <c r="B239" s="496" t="s">
        <v>40</v>
      </c>
      <c r="C239" s="496" t="s">
        <v>1713</v>
      </c>
      <c r="D239" s="496" t="s">
        <v>1609</v>
      </c>
      <c r="E239" s="496">
        <f>'MCS Budget - Detailed'!N280</f>
        <v>0</v>
      </c>
    </row>
    <row r="240" spans="1:5" x14ac:dyDescent="0.2">
      <c r="A240" s="496" t="s">
        <v>2005</v>
      </c>
      <c r="B240" s="496" t="s">
        <v>40</v>
      </c>
      <c r="C240" s="496" t="s">
        <v>2577</v>
      </c>
      <c r="D240" s="496" t="s">
        <v>1609</v>
      </c>
      <c r="E240" s="496">
        <f>'MCS Budget - Detailed'!N282</f>
        <v>500</v>
      </c>
    </row>
    <row r="241" spans="1:5" x14ac:dyDescent="0.2">
      <c r="A241" s="496" t="s">
        <v>2005</v>
      </c>
      <c r="B241" s="496" t="s">
        <v>40</v>
      </c>
      <c r="C241" s="496" t="s">
        <v>2062</v>
      </c>
      <c r="D241" s="496" t="s">
        <v>1609</v>
      </c>
      <c r="E241" s="496">
        <f>'MCS Budget - Detailed'!N283</f>
        <v>0</v>
      </c>
    </row>
    <row r="242" spans="1:5" x14ac:dyDescent="0.2">
      <c r="A242" s="494" t="s">
        <v>2005</v>
      </c>
      <c r="B242" s="496" t="s">
        <v>40</v>
      </c>
      <c r="C242" s="496" t="s">
        <v>1714</v>
      </c>
      <c r="D242" s="496" t="s">
        <v>1609</v>
      </c>
      <c r="E242" s="496">
        <f>'MCS Budget - Detailed'!N286</f>
        <v>20181</v>
      </c>
    </row>
    <row r="243" spans="1:5" x14ac:dyDescent="0.2">
      <c r="A243" s="496" t="s">
        <v>2005</v>
      </c>
      <c r="B243" s="496" t="s">
        <v>40</v>
      </c>
      <c r="C243" s="496" t="s">
        <v>2579</v>
      </c>
      <c r="D243" s="496" t="s">
        <v>1609</v>
      </c>
      <c r="E243" s="496">
        <f>'MCS Budget - Detailed'!N287</f>
        <v>11913</v>
      </c>
    </row>
    <row r="244" spans="1:5" x14ac:dyDescent="0.2">
      <c r="A244" s="496" t="s">
        <v>2005</v>
      </c>
      <c r="B244" s="496" t="s">
        <v>40</v>
      </c>
      <c r="C244" s="496" t="s">
        <v>1715</v>
      </c>
      <c r="D244" s="496" t="s">
        <v>1609</v>
      </c>
      <c r="E244" s="496">
        <f>'MCS Budget - Detailed'!N288</f>
        <v>450</v>
      </c>
    </row>
    <row r="245" spans="1:5" x14ac:dyDescent="0.2">
      <c r="A245" s="494" t="s">
        <v>2005</v>
      </c>
      <c r="B245" s="496" t="s">
        <v>40</v>
      </c>
      <c r="C245" s="496" t="s">
        <v>2580</v>
      </c>
      <c r="D245" s="496" t="s">
        <v>1609</v>
      </c>
      <c r="E245" s="496">
        <f>'MCS Budget - Detailed'!N289</f>
        <v>450</v>
      </c>
    </row>
    <row r="246" spans="1:5" x14ac:dyDescent="0.2">
      <c r="A246" s="494" t="s">
        <v>2005</v>
      </c>
      <c r="B246" s="496" t="s">
        <v>40</v>
      </c>
      <c r="C246" s="496" t="s">
        <v>1716</v>
      </c>
      <c r="D246" s="496" t="s">
        <v>1609</v>
      </c>
      <c r="E246" s="496">
        <f>'MCS Budget - Detailed'!N290</f>
        <v>33</v>
      </c>
    </row>
    <row r="247" spans="1:5" x14ac:dyDescent="0.2">
      <c r="A247" s="496" t="s">
        <v>2005</v>
      </c>
      <c r="B247" s="496" t="s">
        <v>40</v>
      </c>
      <c r="C247" s="496" t="s">
        <v>2581</v>
      </c>
      <c r="D247" s="496" t="s">
        <v>1609</v>
      </c>
      <c r="E247" s="496">
        <f>'MCS Budget - Detailed'!N291</f>
        <v>33</v>
      </c>
    </row>
    <row r="248" spans="1:5" x14ac:dyDescent="0.2">
      <c r="A248" s="496" t="s">
        <v>2005</v>
      </c>
      <c r="B248" s="496" t="s">
        <v>40</v>
      </c>
      <c r="C248" s="496" t="s">
        <v>1717</v>
      </c>
      <c r="D248" s="496" t="s">
        <v>1609</v>
      </c>
      <c r="E248" s="496">
        <f>'MCS Budget - Detailed'!N292</f>
        <v>62</v>
      </c>
    </row>
    <row r="249" spans="1:5" x14ac:dyDescent="0.2">
      <c r="A249" s="494" t="s">
        <v>2005</v>
      </c>
      <c r="B249" s="496" t="s">
        <v>40</v>
      </c>
      <c r="C249" s="496" t="s">
        <v>2582</v>
      </c>
      <c r="D249" s="496" t="s">
        <v>1609</v>
      </c>
      <c r="E249" s="496">
        <f>'MCS Budget - Detailed'!N293</f>
        <v>38</v>
      </c>
    </row>
    <row r="250" spans="1:5" x14ac:dyDescent="0.2">
      <c r="A250" s="494" t="s">
        <v>2005</v>
      </c>
      <c r="B250" s="496" t="s">
        <v>40</v>
      </c>
      <c r="C250" s="496" t="s">
        <v>1718</v>
      </c>
      <c r="D250" s="496" t="s">
        <v>1609</v>
      </c>
      <c r="E250" s="496">
        <f>'MCS Budget - Detailed'!N294</f>
        <v>300</v>
      </c>
    </row>
    <row r="251" spans="1:5" x14ac:dyDescent="0.2">
      <c r="A251" s="496" t="s">
        <v>2005</v>
      </c>
      <c r="B251" s="496" t="s">
        <v>40</v>
      </c>
      <c r="C251" s="496" t="s">
        <v>2583</v>
      </c>
      <c r="D251" s="496" t="s">
        <v>1609</v>
      </c>
      <c r="E251" s="496">
        <f>'MCS Budget - Detailed'!N295</f>
        <v>180</v>
      </c>
    </row>
    <row r="252" spans="1:5" x14ac:dyDescent="0.2">
      <c r="A252" s="496" t="s">
        <v>2005</v>
      </c>
      <c r="B252" s="496" t="s">
        <v>40</v>
      </c>
      <c r="C252" s="496" t="s">
        <v>1719</v>
      </c>
      <c r="D252" s="496" t="s">
        <v>1609</v>
      </c>
      <c r="E252" s="496">
        <f>'MCS Budget - Detailed'!N296</f>
        <v>4209</v>
      </c>
    </row>
    <row r="253" spans="1:5" x14ac:dyDescent="0.2">
      <c r="A253" s="494" t="s">
        <v>2005</v>
      </c>
      <c r="B253" s="496" t="s">
        <v>40</v>
      </c>
      <c r="C253" s="496" t="s">
        <v>2584</v>
      </c>
      <c r="D253" s="496" t="s">
        <v>1609</v>
      </c>
      <c r="E253" s="496">
        <f>'MCS Budget - Detailed'!N297</f>
        <v>2523</v>
      </c>
    </row>
    <row r="254" spans="1:5" x14ac:dyDescent="0.2">
      <c r="A254" s="494" t="s">
        <v>2005</v>
      </c>
      <c r="B254" s="496" t="s">
        <v>40</v>
      </c>
      <c r="C254" s="496" t="s">
        <v>1720</v>
      </c>
      <c r="D254" s="496" t="s">
        <v>1609</v>
      </c>
      <c r="E254" s="496">
        <f>'MCS Budget - Detailed'!N298</f>
        <v>3087</v>
      </c>
    </row>
    <row r="255" spans="1:5" x14ac:dyDescent="0.2">
      <c r="A255" s="496" t="s">
        <v>2005</v>
      </c>
      <c r="B255" s="496" t="s">
        <v>40</v>
      </c>
      <c r="C255" s="496" t="s">
        <v>2587</v>
      </c>
      <c r="D255" s="496" t="s">
        <v>1609</v>
      </c>
      <c r="E255" s="496">
        <f>'MCS Budget - Detailed'!N299</f>
        <v>3087</v>
      </c>
    </row>
    <row r="256" spans="1:5" x14ac:dyDescent="0.2">
      <c r="A256" s="496" t="s">
        <v>2005</v>
      </c>
      <c r="B256" s="496" t="s">
        <v>40</v>
      </c>
      <c r="C256" s="496" t="s">
        <v>2586</v>
      </c>
      <c r="D256" s="496" t="s">
        <v>1609</v>
      </c>
      <c r="E256" s="496">
        <f>'MCS Budget - Detailed'!N300</f>
        <v>619</v>
      </c>
    </row>
    <row r="257" spans="1:5" x14ac:dyDescent="0.2">
      <c r="A257" s="496" t="s">
        <v>2005</v>
      </c>
      <c r="B257" s="496" t="s">
        <v>40</v>
      </c>
      <c r="C257" s="496" t="s">
        <v>2585</v>
      </c>
      <c r="D257" s="496" t="s">
        <v>1609</v>
      </c>
      <c r="E257" s="496">
        <f>'MCS Budget - Detailed'!N301</f>
        <v>371</v>
      </c>
    </row>
    <row r="258" spans="1:5" x14ac:dyDescent="0.2">
      <c r="A258" s="496" t="s">
        <v>2005</v>
      </c>
      <c r="B258" s="496" t="s">
        <v>40</v>
      </c>
      <c r="C258" s="496" t="s">
        <v>1721</v>
      </c>
      <c r="D258" s="496" t="s">
        <v>1609</v>
      </c>
      <c r="E258" s="496">
        <f>'MCS Budget - Detailed'!N302</f>
        <v>300</v>
      </c>
    </row>
    <row r="259" spans="1:5" x14ac:dyDescent="0.2">
      <c r="A259" s="496" t="s">
        <v>2005</v>
      </c>
      <c r="B259" s="496" t="s">
        <v>40</v>
      </c>
      <c r="C259" s="496" t="s">
        <v>1722</v>
      </c>
      <c r="D259" s="496" t="s">
        <v>1609</v>
      </c>
      <c r="E259" s="496">
        <f>'MCS Budget - Detailed'!N304</f>
        <v>16772</v>
      </c>
    </row>
    <row r="260" spans="1:5" x14ac:dyDescent="0.2">
      <c r="A260" s="494" t="s">
        <v>2005</v>
      </c>
      <c r="B260" s="496" t="s">
        <v>40</v>
      </c>
      <c r="C260" s="496" t="s">
        <v>1723</v>
      </c>
      <c r="D260" s="496" t="s">
        <v>1609</v>
      </c>
      <c r="E260" s="496">
        <f>'MCS Budget - Detailed'!N305</f>
        <v>450</v>
      </c>
    </row>
    <row r="261" spans="1:5" x14ac:dyDescent="0.2">
      <c r="A261" s="496" t="s">
        <v>2005</v>
      </c>
      <c r="B261" s="496" t="s">
        <v>40</v>
      </c>
      <c r="C261" s="496" t="s">
        <v>1724</v>
      </c>
      <c r="D261" s="496" t="s">
        <v>1609</v>
      </c>
      <c r="E261" s="496">
        <f>'MCS Budget - Detailed'!N306</f>
        <v>33</v>
      </c>
    </row>
    <row r="262" spans="1:5" x14ac:dyDescent="0.2">
      <c r="A262" s="494" t="s">
        <v>2005</v>
      </c>
      <c r="B262" s="496" t="s">
        <v>40</v>
      </c>
      <c r="C262" s="496" t="s">
        <v>1725</v>
      </c>
      <c r="D262" s="496" t="s">
        <v>1609</v>
      </c>
      <c r="E262" s="496">
        <f>'MCS Budget - Detailed'!N307</f>
        <v>52</v>
      </c>
    </row>
    <row r="263" spans="1:5" x14ac:dyDescent="0.2">
      <c r="A263" s="496" t="s">
        <v>2005</v>
      </c>
      <c r="B263" s="496" t="s">
        <v>40</v>
      </c>
      <c r="C263" s="496" t="s">
        <v>1726</v>
      </c>
      <c r="D263" s="496" t="s">
        <v>1609</v>
      </c>
      <c r="E263" s="496">
        <f>'MCS Budget - Detailed'!N308</f>
        <v>250</v>
      </c>
    </row>
    <row r="264" spans="1:5" x14ac:dyDescent="0.2">
      <c r="A264" s="494" t="s">
        <v>2005</v>
      </c>
      <c r="B264" s="496" t="s">
        <v>40</v>
      </c>
      <c r="C264" s="496" t="s">
        <v>1727</v>
      </c>
      <c r="D264" s="496" t="s">
        <v>1609</v>
      </c>
      <c r="E264" s="496">
        <f>'MCS Budget - Detailed'!N309</f>
        <v>3514</v>
      </c>
    </row>
    <row r="265" spans="1:5" x14ac:dyDescent="0.2">
      <c r="A265" s="496" t="s">
        <v>2005</v>
      </c>
      <c r="B265" s="496" t="s">
        <v>40</v>
      </c>
      <c r="C265" s="496" t="s">
        <v>1728</v>
      </c>
      <c r="D265" s="496" t="s">
        <v>1609</v>
      </c>
      <c r="E265" s="496">
        <f>'MCS Budget - Detailed'!N310</f>
        <v>3066</v>
      </c>
    </row>
    <row r="266" spans="1:5" x14ac:dyDescent="0.2">
      <c r="A266" s="494" t="s">
        <v>2005</v>
      </c>
      <c r="B266" s="496" t="s">
        <v>40</v>
      </c>
      <c r="C266" s="496" t="s">
        <v>2695</v>
      </c>
      <c r="D266" s="496" t="s">
        <v>1609</v>
      </c>
      <c r="E266" s="496">
        <f>'MCS Budget - Detailed'!N311</f>
        <v>517</v>
      </c>
    </row>
    <row r="267" spans="1:5" x14ac:dyDescent="0.2">
      <c r="A267" s="494" t="s">
        <v>2005</v>
      </c>
      <c r="B267" s="496" t="s">
        <v>40</v>
      </c>
      <c r="C267" s="496" t="s">
        <v>1729</v>
      </c>
      <c r="D267" s="496" t="s">
        <v>1609</v>
      </c>
      <c r="E267" s="496">
        <f>'MCS Budget - Detailed'!N312</f>
        <v>1500</v>
      </c>
    </row>
    <row r="268" spans="1:5" x14ac:dyDescent="0.2">
      <c r="A268" s="496" t="s">
        <v>2005</v>
      </c>
      <c r="B268" s="496" t="s">
        <v>40</v>
      </c>
      <c r="C268" s="496" t="s">
        <v>1730</v>
      </c>
      <c r="D268" s="496" t="s">
        <v>1609</v>
      </c>
      <c r="E268" s="496">
        <f>'MCS Budget - Detailed'!N315</f>
        <v>23494</v>
      </c>
    </row>
    <row r="269" spans="1:5" x14ac:dyDescent="0.2">
      <c r="A269" s="494" t="s">
        <v>2005</v>
      </c>
      <c r="B269" s="496" t="s">
        <v>40</v>
      </c>
      <c r="C269" s="496" t="s">
        <v>1731</v>
      </c>
      <c r="D269" s="496" t="s">
        <v>1609</v>
      </c>
      <c r="E269" s="496">
        <f>'MCS Budget - Detailed'!N316</f>
        <v>600</v>
      </c>
    </row>
    <row r="270" spans="1:5" x14ac:dyDescent="0.2">
      <c r="A270" s="496" t="s">
        <v>2005</v>
      </c>
      <c r="B270" s="496" t="s">
        <v>40</v>
      </c>
      <c r="C270" s="496" t="s">
        <v>1732</v>
      </c>
      <c r="D270" s="496" t="s">
        <v>1609</v>
      </c>
      <c r="E270" s="496">
        <f>'MCS Budget - Detailed'!N317</f>
        <v>44</v>
      </c>
    </row>
    <row r="271" spans="1:5" x14ac:dyDescent="0.2">
      <c r="A271" s="494" t="s">
        <v>2005</v>
      </c>
      <c r="B271" s="496" t="s">
        <v>40</v>
      </c>
      <c r="C271" s="496" t="s">
        <v>1733</v>
      </c>
      <c r="D271" s="496" t="s">
        <v>1609</v>
      </c>
      <c r="E271" s="496">
        <f>'MCS Budget - Detailed'!N318</f>
        <v>73</v>
      </c>
    </row>
    <row r="272" spans="1:5" x14ac:dyDescent="0.2">
      <c r="A272" s="496" t="s">
        <v>2005</v>
      </c>
      <c r="B272" s="496" t="s">
        <v>40</v>
      </c>
      <c r="C272" s="496" t="s">
        <v>1734</v>
      </c>
      <c r="D272" s="496" t="s">
        <v>1609</v>
      </c>
      <c r="E272" s="496">
        <f>'MCS Budget - Detailed'!N319</f>
        <v>350</v>
      </c>
    </row>
    <row r="273" spans="1:5" ht="12" customHeight="1" x14ac:dyDescent="0.2">
      <c r="A273" s="494" t="s">
        <v>2005</v>
      </c>
      <c r="B273" s="496" t="s">
        <v>40</v>
      </c>
      <c r="C273" s="496" t="s">
        <v>1735</v>
      </c>
      <c r="D273" s="496" t="s">
        <v>1609</v>
      </c>
      <c r="E273" s="496">
        <f>'MCS Budget - Detailed'!N320</f>
        <v>4916</v>
      </c>
    </row>
    <row r="274" spans="1:5" x14ac:dyDescent="0.2">
      <c r="A274" s="496" t="s">
        <v>2005</v>
      </c>
      <c r="B274" s="496" t="s">
        <v>40</v>
      </c>
      <c r="C274" s="496" t="s">
        <v>1736</v>
      </c>
      <c r="D274" s="496" t="s">
        <v>1609</v>
      </c>
      <c r="E274" s="496">
        <f>'MCS Budget - Detailed'!N321</f>
        <v>4113</v>
      </c>
    </row>
    <row r="275" spans="1:5" x14ac:dyDescent="0.2">
      <c r="A275" s="496" t="s">
        <v>2005</v>
      </c>
      <c r="B275" s="496" t="s">
        <v>40</v>
      </c>
      <c r="C275" s="496" t="s">
        <v>2588</v>
      </c>
      <c r="D275" s="496" t="s">
        <v>1609</v>
      </c>
      <c r="E275" s="496">
        <f>'MCS Budget - Detailed'!N322</f>
        <v>723</v>
      </c>
    </row>
    <row r="276" spans="1:5" x14ac:dyDescent="0.2">
      <c r="A276" s="496" t="s">
        <v>2005</v>
      </c>
      <c r="B276" s="496" t="s">
        <v>40</v>
      </c>
      <c r="C276" s="496" t="s">
        <v>2266</v>
      </c>
      <c r="D276" s="496" t="s">
        <v>1609</v>
      </c>
      <c r="E276" s="496">
        <f>'MCS Budget - Detailed'!N323</f>
        <v>300</v>
      </c>
    </row>
    <row r="277" spans="1:5" x14ac:dyDescent="0.2">
      <c r="A277" s="494" t="s">
        <v>2005</v>
      </c>
      <c r="B277" s="496" t="s">
        <v>40</v>
      </c>
      <c r="C277" s="496" t="s">
        <v>1737</v>
      </c>
      <c r="D277" s="496" t="s">
        <v>1609</v>
      </c>
      <c r="E277" s="496">
        <f>'MCS Budget - Detailed'!N325</f>
        <v>20000</v>
      </c>
    </row>
    <row r="278" spans="1:5" x14ac:dyDescent="0.2">
      <c r="A278" s="496" t="s">
        <v>2005</v>
      </c>
      <c r="B278" s="496" t="s">
        <v>40</v>
      </c>
      <c r="C278" s="496" t="s">
        <v>1738</v>
      </c>
      <c r="D278" s="496" t="s">
        <v>1609</v>
      </c>
      <c r="E278" s="496">
        <f>'MCS Budget - Detailed'!N326</f>
        <v>60</v>
      </c>
    </row>
    <row r="279" spans="1:5" x14ac:dyDescent="0.2">
      <c r="A279" s="494" t="s">
        <v>2005</v>
      </c>
      <c r="B279" s="496" t="s">
        <v>40</v>
      </c>
      <c r="C279" s="496" t="s">
        <v>1739</v>
      </c>
      <c r="D279" s="496" t="s">
        <v>1609</v>
      </c>
      <c r="E279" s="496">
        <f>'MCS Budget - Detailed'!N327</f>
        <v>290</v>
      </c>
    </row>
    <row r="280" spans="1:5" x14ac:dyDescent="0.2">
      <c r="A280" s="496" t="s">
        <v>2005</v>
      </c>
      <c r="B280" s="496" t="s">
        <v>40</v>
      </c>
      <c r="C280" s="496" t="s">
        <v>1740</v>
      </c>
      <c r="D280" s="496" t="s">
        <v>1609</v>
      </c>
      <c r="E280" s="496">
        <f>'MCS Budget - Detailed'!N328</f>
        <v>4030</v>
      </c>
    </row>
    <row r="281" spans="1:5" x14ac:dyDescent="0.2">
      <c r="A281" s="494" t="s">
        <v>2005</v>
      </c>
      <c r="B281" s="496" t="s">
        <v>40</v>
      </c>
      <c r="C281" s="496" t="s">
        <v>1741</v>
      </c>
      <c r="D281" s="496" t="s">
        <v>1609</v>
      </c>
      <c r="E281" s="496">
        <f>'MCS Budget - Detailed'!N330</f>
        <v>4500</v>
      </c>
    </row>
    <row r="282" spans="1:5" x14ac:dyDescent="0.2">
      <c r="A282" s="496" t="s">
        <v>2005</v>
      </c>
      <c r="B282" s="496" t="s">
        <v>40</v>
      </c>
      <c r="C282" s="496" t="s">
        <v>1742</v>
      </c>
      <c r="D282" s="496" t="s">
        <v>1609</v>
      </c>
      <c r="E282" s="496">
        <f>'MCS Budget - Detailed'!N331</f>
        <v>1800</v>
      </c>
    </row>
    <row r="283" spans="1:5" x14ac:dyDescent="0.2">
      <c r="A283" s="494" t="s">
        <v>2005</v>
      </c>
      <c r="B283" s="496" t="s">
        <v>40</v>
      </c>
      <c r="C283" s="496" t="s">
        <v>1743</v>
      </c>
      <c r="D283" s="496" t="s">
        <v>1609</v>
      </c>
      <c r="E283" s="496">
        <f>'MCS Budget - Detailed'!N332</f>
        <v>1000</v>
      </c>
    </row>
    <row r="284" spans="1:5" x14ac:dyDescent="0.2">
      <c r="A284" s="496" t="s">
        <v>2005</v>
      </c>
      <c r="B284" s="496" t="s">
        <v>40</v>
      </c>
      <c r="C284" s="496" t="s">
        <v>1744</v>
      </c>
      <c r="D284" s="496" t="s">
        <v>1609</v>
      </c>
      <c r="E284" s="496">
        <f>'MCS Budget - Detailed'!N334</f>
        <v>500</v>
      </c>
    </row>
    <row r="285" spans="1:5" x14ac:dyDescent="0.2">
      <c r="A285" s="494" t="s">
        <v>2005</v>
      </c>
      <c r="B285" s="496" t="s">
        <v>40</v>
      </c>
      <c r="C285" s="496" t="s">
        <v>1745</v>
      </c>
      <c r="D285" s="496" t="s">
        <v>1609</v>
      </c>
      <c r="E285" s="496">
        <f>'MCS Budget - Detailed'!N335</f>
        <v>7000</v>
      </c>
    </row>
    <row r="286" spans="1:5" x14ac:dyDescent="0.2">
      <c r="A286" s="496" t="s">
        <v>2005</v>
      </c>
      <c r="B286" s="496" t="s">
        <v>40</v>
      </c>
      <c r="C286" s="496" t="s">
        <v>1746</v>
      </c>
      <c r="D286" s="496" t="s">
        <v>1609</v>
      </c>
      <c r="E286" s="496">
        <f>'MCS Budget - Detailed'!N338</f>
        <v>5000</v>
      </c>
    </row>
    <row r="287" spans="1:5" x14ac:dyDescent="0.2">
      <c r="A287" s="494" t="s">
        <v>2005</v>
      </c>
      <c r="B287" s="496" t="s">
        <v>40</v>
      </c>
      <c r="C287" s="496" t="s">
        <v>1747</v>
      </c>
      <c r="D287" s="496" t="s">
        <v>1609</v>
      </c>
      <c r="E287" s="496">
        <f>'MCS Budget - Detailed'!N340</f>
        <v>200</v>
      </c>
    </row>
    <row r="288" spans="1:5" x14ac:dyDescent="0.2">
      <c r="A288" s="494" t="s">
        <v>2005</v>
      </c>
      <c r="B288" s="496" t="s">
        <v>40</v>
      </c>
      <c r="C288" s="496" t="s">
        <v>1748</v>
      </c>
      <c r="D288" s="496" t="s">
        <v>1609</v>
      </c>
      <c r="E288" s="496">
        <f>'MCS Budget - Detailed'!N342</f>
        <v>74079</v>
      </c>
    </row>
    <row r="289" spans="1:5" x14ac:dyDescent="0.2">
      <c r="A289" s="496" t="s">
        <v>2005</v>
      </c>
      <c r="B289" s="496" t="s">
        <v>40</v>
      </c>
      <c r="C289" s="496" t="s">
        <v>1749</v>
      </c>
      <c r="D289" s="496" t="s">
        <v>1609</v>
      </c>
      <c r="E289" s="496">
        <f>'MCS Budget - Detailed'!N343</f>
        <v>6000</v>
      </c>
    </row>
    <row r="290" spans="1:5" x14ac:dyDescent="0.2">
      <c r="A290" s="496" t="s">
        <v>2005</v>
      </c>
      <c r="B290" s="496" t="s">
        <v>40</v>
      </c>
      <c r="C290" s="496" t="s">
        <v>2589</v>
      </c>
      <c r="D290" s="496" t="s">
        <v>1609</v>
      </c>
      <c r="E290" s="496">
        <f>'MCS Budget - Detailed'!N344</f>
        <v>1400</v>
      </c>
    </row>
    <row r="291" spans="1:5" x14ac:dyDescent="0.2">
      <c r="A291" s="496" t="s">
        <v>2005</v>
      </c>
      <c r="B291" s="496" t="s">
        <v>40</v>
      </c>
      <c r="C291" s="496" t="s">
        <v>2063</v>
      </c>
      <c r="D291" s="496" t="s">
        <v>1609</v>
      </c>
      <c r="E291" s="496">
        <f>'MCS Budget - Detailed'!N345</f>
        <v>16561</v>
      </c>
    </row>
    <row r="292" spans="1:5" x14ac:dyDescent="0.2">
      <c r="A292" s="494" t="s">
        <v>2005</v>
      </c>
      <c r="B292" s="496" t="s">
        <v>40</v>
      </c>
      <c r="C292" s="496" t="s">
        <v>1750</v>
      </c>
      <c r="D292" s="496" t="s">
        <v>1609</v>
      </c>
      <c r="E292" s="496">
        <f>'MCS Budget - Detailed'!N347</f>
        <v>66</v>
      </c>
    </row>
    <row r="293" spans="1:5" x14ac:dyDescent="0.2">
      <c r="A293" s="496" t="s">
        <v>2005</v>
      </c>
      <c r="B293" s="496" t="s">
        <v>40</v>
      </c>
      <c r="C293" s="496" t="s">
        <v>1751</v>
      </c>
      <c r="D293" s="496" t="s">
        <v>1609</v>
      </c>
      <c r="E293" s="496">
        <f>'MCS Budget - Detailed'!N348</f>
        <v>243</v>
      </c>
    </row>
    <row r="294" spans="1:5" x14ac:dyDescent="0.2">
      <c r="A294" s="494" t="s">
        <v>2005</v>
      </c>
      <c r="B294" s="496" t="s">
        <v>40</v>
      </c>
      <c r="C294" s="496" t="s">
        <v>1752</v>
      </c>
      <c r="D294" s="496" t="s">
        <v>1609</v>
      </c>
      <c r="E294" s="496">
        <f>'MCS Budget - Detailed'!N349</f>
        <v>700</v>
      </c>
    </row>
    <row r="295" spans="1:5" x14ac:dyDescent="0.2">
      <c r="A295" s="496" t="s">
        <v>2005</v>
      </c>
      <c r="B295" s="496" t="s">
        <v>40</v>
      </c>
      <c r="C295" s="496" t="s">
        <v>1753</v>
      </c>
      <c r="D295" s="496" t="s">
        <v>1609</v>
      </c>
      <c r="E295" s="496">
        <f>'MCS Budget - Detailed'!N350</f>
        <v>128</v>
      </c>
    </row>
    <row r="296" spans="1:5" x14ac:dyDescent="0.2">
      <c r="A296" s="494" t="s">
        <v>2005</v>
      </c>
      <c r="B296" s="496" t="s">
        <v>40</v>
      </c>
      <c r="C296" s="496" t="s">
        <v>2590</v>
      </c>
      <c r="D296" s="496" t="s">
        <v>1609</v>
      </c>
      <c r="E296" s="496">
        <f>'MCS Budget - Detailed'!N351</f>
        <v>4</v>
      </c>
    </row>
    <row r="297" spans="1:5" x14ac:dyDescent="0.2">
      <c r="A297" s="494" t="s">
        <v>2005</v>
      </c>
      <c r="B297" s="496" t="s">
        <v>40</v>
      </c>
      <c r="C297" s="496" t="s">
        <v>2064</v>
      </c>
      <c r="D297" s="496" t="s">
        <v>1609</v>
      </c>
      <c r="E297" s="496">
        <f>'MCS Budget - Detailed'!N352</f>
        <v>49</v>
      </c>
    </row>
    <row r="298" spans="1:5" x14ac:dyDescent="0.2">
      <c r="A298" s="496" t="s">
        <v>2005</v>
      </c>
      <c r="B298" s="496" t="s">
        <v>40</v>
      </c>
      <c r="C298" s="496" t="s">
        <v>1754</v>
      </c>
      <c r="D298" s="496" t="s">
        <v>1609</v>
      </c>
      <c r="E298" s="496">
        <f>'MCS Budget - Detailed'!N354</f>
        <v>18</v>
      </c>
    </row>
    <row r="299" spans="1:5" x14ac:dyDescent="0.2">
      <c r="A299" s="494" t="s">
        <v>2005</v>
      </c>
      <c r="B299" s="496" t="s">
        <v>40</v>
      </c>
      <c r="C299" s="496" t="s">
        <v>1755</v>
      </c>
      <c r="D299" s="496" t="s">
        <v>1609</v>
      </c>
      <c r="E299" s="496">
        <f>'MCS Budget - Detailed'!N355</f>
        <v>223</v>
      </c>
    </row>
    <row r="300" spans="1:5" x14ac:dyDescent="0.2">
      <c r="A300" s="494" t="s">
        <v>2005</v>
      </c>
      <c r="B300" s="496" t="s">
        <v>40</v>
      </c>
      <c r="C300" s="496" t="s">
        <v>1757</v>
      </c>
      <c r="D300" s="496" t="s">
        <v>1609</v>
      </c>
      <c r="E300" s="496">
        <f>'MCS Budget - Detailed'!N356</f>
        <v>616</v>
      </c>
    </row>
    <row r="301" spans="1:5" x14ac:dyDescent="0.2">
      <c r="A301" s="496" t="s">
        <v>2005</v>
      </c>
      <c r="B301" s="496" t="s">
        <v>40</v>
      </c>
      <c r="C301" s="496" t="s">
        <v>2591</v>
      </c>
      <c r="D301" s="496" t="s">
        <v>1609</v>
      </c>
      <c r="E301" s="496">
        <f>'MCS Budget - Detailed'!N357</f>
        <v>20</v>
      </c>
    </row>
    <row r="302" spans="1:5" x14ac:dyDescent="0.2">
      <c r="A302" s="496" t="s">
        <v>2005</v>
      </c>
      <c r="B302" s="496" t="s">
        <v>40</v>
      </c>
      <c r="C302" s="496" t="s">
        <v>2065</v>
      </c>
      <c r="D302" s="496" t="s">
        <v>1609</v>
      </c>
      <c r="E302" s="496">
        <f>'MCS Budget - Detailed'!N358</f>
        <v>239</v>
      </c>
    </row>
    <row r="303" spans="1:5" x14ac:dyDescent="0.2">
      <c r="A303" s="494" t="s">
        <v>2005</v>
      </c>
      <c r="B303" s="496" t="s">
        <v>40</v>
      </c>
      <c r="C303" s="496" t="s">
        <v>1758</v>
      </c>
      <c r="D303" s="496" t="s">
        <v>1609</v>
      </c>
      <c r="E303" s="496">
        <f>'MCS Budget - Detailed'!N360</f>
        <v>87</v>
      </c>
    </row>
    <row r="304" spans="1:5" x14ac:dyDescent="0.2">
      <c r="A304" s="496" t="s">
        <v>2005</v>
      </c>
      <c r="B304" s="496" t="s">
        <v>40</v>
      </c>
      <c r="C304" s="496" t="s">
        <v>1759</v>
      </c>
      <c r="D304" s="496" t="s">
        <v>1609</v>
      </c>
      <c r="E304" s="496">
        <f>'MCS Budget - Detailed'!N361</f>
        <v>1075</v>
      </c>
    </row>
    <row r="305" spans="1:5" x14ac:dyDescent="0.2">
      <c r="A305" s="494" t="s">
        <v>2005</v>
      </c>
      <c r="B305" s="496" t="s">
        <v>40</v>
      </c>
      <c r="C305" s="496" t="s">
        <v>1760</v>
      </c>
      <c r="D305" s="496" t="s">
        <v>1609</v>
      </c>
      <c r="E305" s="496">
        <f>'MCS Budget - Detailed'!N363</f>
        <v>5479</v>
      </c>
    </row>
    <row r="306" spans="1:5" x14ac:dyDescent="0.2">
      <c r="A306" s="496" t="s">
        <v>2005</v>
      </c>
      <c r="B306" s="496" t="s">
        <v>40</v>
      </c>
      <c r="C306" s="496" t="s">
        <v>2593</v>
      </c>
      <c r="D306" s="496" t="s">
        <v>1609</v>
      </c>
      <c r="E306" s="496">
        <f>'MCS Budget - Detailed'!N364</f>
        <v>3184</v>
      </c>
    </row>
    <row r="307" spans="1:5" x14ac:dyDescent="0.2">
      <c r="A307" s="496" t="s">
        <v>2005</v>
      </c>
      <c r="B307" s="496" t="s">
        <v>40</v>
      </c>
      <c r="C307" s="496" t="s">
        <v>2592</v>
      </c>
      <c r="D307" s="496" t="s">
        <v>1609</v>
      </c>
      <c r="E307" s="496">
        <f>'MCS Budget - Detailed'!N365</f>
        <v>286</v>
      </c>
    </row>
    <row r="308" spans="1:5" x14ac:dyDescent="0.2">
      <c r="A308" s="496" t="s">
        <v>2005</v>
      </c>
      <c r="B308" s="496" t="s">
        <v>40</v>
      </c>
      <c r="C308" s="496" t="s">
        <v>2066</v>
      </c>
      <c r="D308" s="496" t="s">
        <v>1609</v>
      </c>
      <c r="E308" s="496">
        <f>'MCS Budget - Detailed'!N366</f>
        <v>3347</v>
      </c>
    </row>
    <row r="309" spans="1:5" x14ac:dyDescent="0.2">
      <c r="A309" s="494" t="s">
        <v>2005</v>
      </c>
      <c r="B309" s="496" t="s">
        <v>40</v>
      </c>
      <c r="C309" s="496" t="s">
        <v>1761</v>
      </c>
      <c r="D309" s="496" t="s">
        <v>1609</v>
      </c>
      <c r="E309" s="496">
        <f>'MCS Budget - Detailed'!N368</f>
        <v>1224</v>
      </c>
    </row>
    <row r="310" spans="1:5" x14ac:dyDescent="0.2">
      <c r="A310" s="496" t="s">
        <v>2005</v>
      </c>
      <c r="B310" s="496" t="s">
        <v>40</v>
      </c>
      <c r="C310" s="496" t="s">
        <v>1762</v>
      </c>
      <c r="D310" s="496" t="s">
        <v>1609</v>
      </c>
      <c r="E310" s="496">
        <f>'MCS Budget - Detailed'!N369</f>
        <v>15113</v>
      </c>
    </row>
    <row r="311" spans="1:5" x14ac:dyDescent="0.2">
      <c r="A311" s="494" t="s">
        <v>2005</v>
      </c>
      <c r="B311" s="496" t="s">
        <v>40</v>
      </c>
      <c r="C311" s="496" t="s">
        <v>1763</v>
      </c>
      <c r="D311" s="496" t="s">
        <v>1609</v>
      </c>
      <c r="E311" s="496">
        <f>'MCS Budget - Detailed'!N370</f>
        <v>1543</v>
      </c>
    </row>
    <row r="312" spans="1:5" x14ac:dyDescent="0.2">
      <c r="A312" s="494" t="s">
        <v>2005</v>
      </c>
      <c r="B312" s="496" t="s">
        <v>40</v>
      </c>
      <c r="C312" s="496" t="s">
        <v>2594</v>
      </c>
      <c r="D312" s="496" t="s">
        <v>1609</v>
      </c>
      <c r="E312" s="496">
        <f>'MCS Budget - Detailed'!N371</f>
        <v>4626</v>
      </c>
    </row>
    <row r="313" spans="1:5" x14ac:dyDescent="0.2">
      <c r="A313" s="494" t="s">
        <v>2005</v>
      </c>
      <c r="B313" s="496" t="s">
        <v>40</v>
      </c>
      <c r="C313" s="496" t="s">
        <v>1764</v>
      </c>
      <c r="D313" s="496" t="s">
        <v>1609</v>
      </c>
      <c r="E313" s="496">
        <f>'MCS Budget - Detailed'!N374</f>
        <v>18027</v>
      </c>
    </row>
    <row r="314" spans="1:5" x14ac:dyDescent="0.2">
      <c r="A314" s="496" t="s">
        <v>2005</v>
      </c>
      <c r="B314" s="496" t="s">
        <v>40</v>
      </c>
      <c r="C314" s="496" t="s">
        <v>2596</v>
      </c>
      <c r="D314" s="496" t="s">
        <v>1609</v>
      </c>
      <c r="E314" s="496">
        <f>'MCS Budget - Detailed'!N375</f>
        <v>180</v>
      </c>
    </row>
    <row r="315" spans="1:5" x14ac:dyDescent="0.2">
      <c r="A315" s="496" t="s">
        <v>2005</v>
      </c>
      <c r="B315" s="496" t="s">
        <v>40</v>
      </c>
      <c r="C315" s="496" t="s">
        <v>2597</v>
      </c>
      <c r="D315" s="496" t="s">
        <v>1609</v>
      </c>
      <c r="E315" s="496">
        <f>'MCS Budget - Detailed'!N376</f>
        <v>2222</v>
      </c>
    </row>
    <row r="316" spans="1:5" x14ac:dyDescent="0.2">
      <c r="A316" s="496" t="s">
        <v>2005</v>
      </c>
      <c r="B316" s="496" t="s">
        <v>40</v>
      </c>
      <c r="C316" s="496" t="s">
        <v>2595</v>
      </c>
      <c r="D316" s="496" t="s">
        <v>1609</v>
      </c>
      <c r="E316" s="496">
        <f>'MCS Budget - Detailed'!N377</f>
        <v>8584</v>
      </c>
    </row>
    <row r="317" spans="1:5" x14ac:dyDescent="0.2">
      <c r="A317" s="496" t="s">
        <v>2005</v>
      </c>
      <c r="B317" s="496" t="s">
        <v>40</v>
      </c>
      <c r="C317" s="496" t="s">
        <v>1765</v>
      </c>
      <c r="D317" s="496" t="s">
        <v>1609</v>
      </c>
      <c r="E317" s="496">
        <f>'MCS Budget - Detailed'!N378</f>
        <v>1000</v>
      </c>
    </row>
    <row r="318" spans="1:5" x14ac:dyDescent="0.2">
      <c r="A318" s="494" t="s">
        <v>2005</v>
      </c>
      <c r="B318" s="496" t="s">
        <v>40</v>
      </c>
      <c r="C318" s="496" t="s">
        <v>1766</v>
      </c>
      <c r="D318" s="496" t="s">
        <v>1609</v>
      </c>
      <c r="E318" s="496">
        <f>'MCS Budget - Detailed'!N379</f>
        <v>6000</v>
      </c>
    </row>
    <row r="319" spans="1:5" x14ac:dyDescent="0.2">
      <c r="A319" s="496" t="s">
        <v>2005</v>
      </c>
      <c r="B319" s="496" t="s">
        <v>40</v>
      </c>
      <c r="C319" s="496" t="s">
        <v>2598</v>
      </c>
      <c r="D319" s="496" t="s">
        <v>1609</v>
      </c>
      <c r="E319" s="496">
        <f>'MCS Budget - Detailed'!N380</f>
        <v>505</v>
      </c>
    </row>
    <row r="320" spans="1:5" x14ac:dyDescent="0.2">
      <c r="A320" s="496" t="s">
        <v>2005</v>
      </c>
      <c r="B320" s="496" t="s">
        <v>40</v>
      </c>
      <c r="C320" s="496" t="s">
        <v>1767</v>
      </c>
      <c r="D320" s="496" t="s">
        <v>1609</v>
      </c>
      <c r="E320" s="496">
        <f>'MCS Budget - Detailed'!N381</f>
        <v>4000</v>
      </c>
    </row>
    <row r="321" spans="1:5" x14ac:dyDescent="0.2">
      <c r="A321" s="494" t="s">
        <v>2005</v>
      </c>
      <c r="B321" s="496" t="s">
        <v>40</v>
      </c>
      <c r="C321" s="496" t="s">
        <v>1768</v>
      </c>
      <c r="D321" s="496" t="s">
        <v>1609</v>
      </c>
      <c r="E321" s="496">
        <f>'MCS Budget - Detailed'!N383</f>
        <v>2000</v>
      </c>
    </row>
    <row r="322" spans="1:5" x14ac:dyDescent="0.2">
      <c r="A322" s="496" t="s">
        <v>2005</v>
      </c>
      <c r="B322" s="496" t="s">
        <v>40</v>
      </c>
      <c r="C322" s="496" t="s">
        <v>1769</v>
      </c>
      <c r="D322" s="496" t="s">
        <v>1609</v>
      </c>
      <c r="E322" s="496">
        <f>'MCS Budget - Detailed'!N385</f>
        <v>9000</v>
      </c>
    </row>
    <row r="323" spans="1:5" x14ac:dyDescent="0.2">
      <c r="A323" s="494" t="s">
        <v>2005</v>
      </c>
      <c r="B323" s="496" t="s">
        <v>40</v>
      </c>
      <c r="C323" s="496" t="s">
        <v>2605</v>
      </c>
      <c r="D323" s="496" t="s">
        <v>1609</v>
      </c>
      <c r="E323" s="496">
        <f>'MCS Budget - Detailed'!N386</f>
        <v>2580</v>
      </c>
    </row>
    <row r="324" spans="1:5" x14ac:dyDescent="0.2">
      <c r="A324" s="494" t="s">
        <v>2005</v>
      </c>
      <c r="B324" s="496" t="s">
        <v>40</v>
      </c>
      <c r="C324" s="496" t="s">
        <v>2604</v>
      </c>
      <c r="D324" s="496" t="s">
        <v>1609</v>
      </c>
      <c r="E324" s="496">
        <f>'MCS Budget - Detailed'!N387</f>
        <v>7300</v>
      </c>
    </row>
    <row r="325" spans="1:5" x14ac:dyDescent="0.2">
      <c r="A325" s="494" t="s">
        <v>2005</v>
      </c>
      <c r="B325" s="496" t="s">
        <v>40</v>
      </c>
      <c r="C325" s="496" t="s">
        <v>2603</v>
      </c>
      <c r="D325" s="496" t="s">
        <v>1609</v>
      </c>
      <c r="E325" s="496">
        <f>'MCS Budget - Detailed'!N388</f>
        <v>1500</v>
      </c>
    </row>
    <row r="326" spans="1:5" x14ac:dyDescent="0.2">
      <c r="A326" s="494" t="s">
        <v>2005</v>
      </c>
      <c r="B326" s="496" t="s">
        <v>40</v>
      </c>
      <c r="C326" s="496" t="s">
        <v>2602</v>
      </c>
      <c r="D326" s="496" t="s">
        <v>1609</v>
      </c>
      <c r="E326" s="496">
        <f>'MCS Budget - Detailed'!N389</f>
        <v>1200</v>
      </c>
    </row>
    <row r="327" spans="1:5" x14ac:dyDescent="0.2">
      <c r="A327" s="494" t="s">
        <v>2005</v>
      </c>
      <c r="B327" s="496" t="s">
        <v>40</v>
      </c>
      <c r="C327" s="496" t="s">
        <v>2601</v>
      </c>
      <c r="D327" s="496" t="s">
        <v>1609</v>
      </c>
      <c r="E327" s="496">
        <f>'MCS Budget - Detailed'!N390</f>
        <v>1000</v>
      </c>
    </row>
    <row r="328" spans="1:5" x14ac:dyDescent="0.2">
      <c r="A328" s="494" t="s">
        <v>2005</v>
      </c>
      <c r="B328" s="496" t="s">
        <v>40</v>
      </c>
      <c r="C328" s="496" t="s">
        <v>2600</v>
      </c>
      <c r="D328" s="496" t="s">
        <v>1609</v>
      </c>
      <c r="E328" s="496">
        <f>'MCS Budget - Detailed'!N391</f>
        <v>5087</v>
      </c>
    </row>
    <row r="329" spans="1:5" x14ac:dyDescent="0.2">
      <c r="A329" s="494" t="s">
        <v>2005</v>
      </c>
      <c r="B329" s="496" t="s">
        <v>40</v>
      </c>
      <c r="C329" s="496" t="s">
        <v>2599</v>
      </c>
      <c r="D329" s="496" t="s">
        <v>1609</v>
      </c>
      <c r="E329" s="496">
        <f>'MCS Budget - Detailed'!N392</f>
        <v>7000</v>
      </c>
    </row>
    <row r="330" spans="1:5" x14ac:dyDescent="0.2">
      <c r="A330" s="494" t="s">
        <v>2005</v>
      </c>
      <c r="B330" s="496" t="s">
        <v>40</v>
      </c>
      <c r="C330" s="496" t="s">
        <v>2692</v>
      </c>
      <c r="D330" s="496" t="s">
        <v>1609</v>
      </c>
      <c r="E330" s="496">
        <f>'MCS Budget - Detailed'!N394</f>
        <v>1240</v>
      </c>
    </row>
    <row r="331" spans="1:5" x14ac:dyDescent="0.2">
      <c r="A331" s="494" t="s">
        <v>2005</v>
      </c>
      <c r="B331" s="496" t="s">
        <v>40</v>
      </c>
      <c r="C331" s="496" t="s">
        <v>1770</v>
      </c>
      <c r="D331" s="496" t="s">
        <v>1609</v>
      </c>
      <c r="E331" s="496">
        <f>'MCS Budget - Detailed'!N395</f>
        <v>1000</v>
      </c>
    </row>
    <row r="332" spans="1:5" x14ac:dyDescent="0.2">
      <c r="A332" s="494" t="s">
        <v>2005</v>
      </c>
      <c r="B332" s="496" t="s">
        <v>40</v>
      </c>
      <c r="C332" s="496" t="s">
        <v>2606</v>
      </c>
      <c r="D332" s="496" t="s">
        <v>1609</v>
      </c>
      <c r="E332" s="496">
        <f>'MCS Budget - Detailed'!N396</f>
        <v>1000</v>
      </c>
    </row>
    <row r="333" spans="1:5" x14ac:dyDescent="0.2">
      <c r="A333" s="496" t="s">
        <v>2005</v>
      </c>
      <c r="B333" s="496" t="s">
        <v>40</v>
      </c>
      <c r="C333" s="496" t="s">
        <v>1771</v>
      </c>
      <c r="D333" s="496" t="s">
        <v>1609</v>
      </c>
      <c r="E333" s="496">
        <f>'MCS Budget - Detailed'!N397</f>
        <v>1000</v>
      </c>
    </row>
    <row r="334" spans="1:5" x14ac:dyDescent="0.2">
      <c r="A334" s="494" t="s">
        <v>2005</v>
      </c>
      <c r="B334" s="496" t="s">
        <v>40</v>
      </c>
      <c r="C334" s="496" t="s">
        <v>1772</v>
      </c>
      <c r="D334" s="496" t="s">
        <v>1609</v>
      </c>
      <c r="E334" s="496">
        <f>'MCS Budget - Detailed'!N399</f>
        <v>420</v>
      </c>
    </row>
    <row r="335" spans="1:5" x14ac:dyDescent="0.2">
      <c r="A335" s="494" t="s">
        <v>2005</v>
      </c>
      <c r="B335" s="496" t="s">
        <v>40</v>
      </c>
      <c r="C335" s="496" t="s">
        <v>2067</v>
      </c>
      <c r="D335" s="496" t="s">
        <v>1609</v>
      </c>
      <c r="E335" s="496">
        <f>'MCS Budget - Detailed'!N400</f>
        <v>2</v>
      </c>
    </row>
    <row r="336" spans="1:5" x14ac:dyDescent="0.2">
      <c r="A336" s="496" t="s">
        <v>2005</v>
      </c>
      <c r="B336" s="496" t="s">
        <v>40</v>
      </c>
      <c r="C336" s="496" t="s">
        <v>2068</v>
      </c>
      <c r="D336" s="496" t="s">
        <v>1609</v>
      </c>
      <c r="E336" s="496">
        <f>'MCS Budget - Detailed'!N401</f>
        <v>6</v>
      </c>
    </row>
    <row r="337" spans="1:5" x14ac:dyDescent="0.2">
      <c r="A337" s="494" t="s">
        <v>2005</v>
      </c>
      <c r="B337" s="496" t="s">
        <v>40</v>
      </c>
      <c r="C337" s="496" t="s">
        <v>2069</v>
      </c>
      <c r="D337" s="496" t="s">
        <v>1609</v>
      </c>
      <c r="E337" s="496">
        <f>'MCS Budget - Detailed'!N402</f>
        <v>86</v>
      </c>
    </row>
    <row r="338" spans="1:5" x14ac:dyDescent="0.2">
      <c r="A338" s="494" t="s">
        <v>2005</v>
      </c>
      <c r="B338" s="496" t="s">
        <v>40</v>
      </c>
      <c r="C338" s="496" t="s">
        <v>2607</v>
      </c>
      <c r="D338" s="496" t="s">
        <v>1609</v>
      </c>
      <c r="E338" s="496">
        <f>'MCS Budget - Detailed'!N403</f>
        <v>1500</v>
      </c>
    </row>
    <row r="339" spans="1:5" x14ac:dyDescent="0.2">
      <c r="A339" s="494" t="s">
        <v>2005</v>
      </c>
      <c r="B339" s="496" t="s">
        <v>40</v>
      </c>
      <c r="C339" s="496" t="s">
        <v>2070</v>
      </c>
      <c r="D339" s="496" t="s">
        <v>1609</v>
      </c>
      <c r="E339" s="496">
        <f>'MCS Budget - Detailed'!N404</f>
        <v>536</v>
      </c>
    </row>
    <row r="340" spans="1:5" x14ac:dyDescent="0.2">
      <c r="A340" s="494" t="s">
        <v>2005</v>
      </c>
      <c r="B340" s="496" t="s">
        <v>40</v>
      </c>
      <c r="C340" s="496" t="s">
        <v>2071</v>
      </c>
      <c r="D340" s="496" t="s">
        <v>1609</v>
      </c>
      <c r="E340" s="496">
        <f>'MCS Budget - Detailed'!N405</f>
        <v>100</v>
      </c>
    </row>
    <row r="341" spans="1:5" x14ac:dyDescent="0.2">
      <c r="A341" s="494" t="s">
        <v>2005</v>
      </c>
      <c r="B341" s="496" t="s">
        <v>40</v>
      </c>
      <c r="C341" s="496" t="s">
        <v>2072</v>
      </c>
      <c r="D341" s="496" t="s">
        <v>1609</v>
      </c>
      <c r="E341" s="496">
        <f>'MCS Budget - Detailed'!N406</f>
        <v>150</v>
      </c>
    </row>
    <row r="342" spans="1:5" x14ac:dyDescent="0.2">
      <c r="A342" s="496" t="s">
        <v>2005</v>
      </c>
      <c r="B342" s="496" t="s">
        <v>40</v>
      </c>
      <c r="C342" s="496" t="s">
        <v>1773</v>
      </c>
      <c r="D342" s="496" t="s">
        <v>1609</v>
      </c>
      <c r="E342" s="496">
        <f>'MCS Budget - Detailed'!N408</f>
        <v>32971</v>
      </c>
    </row>
    <row r="343" spans="1:5" x14ac:dyDescent="0.2">
      <c r="A343" s="494" t="s">
        <v>2005</v>
      </c>
      <c r="B343" s="496" t="s">
        <v>40</v>
      </c>
      <c r="C343" s="496" t="s">
        <v>1774</v>
      </c>
      <c r="D343" s="496" t="s">
        <v>1609</v>
      </c>
      <c r="E343" s="496">
        <f>'MCS Budget - Detailed'!N409</f>
        <v>750</v>
      </c>
    </row>
    <row r="344" spans="1:5" x14ac:dyDescent="0.2">
      <c r="A344" s="496" t="s">
        <v>2005</v>
      </c>
      <c r="B344" s="496" t="s">
        <v>40</v>
      </c>
      <c r="C344" s="496" t="s">
        <v>1775</v>
      </c>
      <c r="D344" s="496" t="s">
        <v>1609</v>
      </c>
      <c r="E344" s="496">
        <f>'MCS Budget - Detailed'!N410</f>
        <v>55</v>
      </c>
    </row>
    <row r="345" spans="1:5" x14ac:dyDescent="0.2">
      <c r="A345" s="494" t="s">
        <v>2005</v>
      </c>
      <c r="B345" s="496" t="s">
        <v>40</v>
      </c>
      <c r="C345" s="496" t="s">
        <v>1776</v>
      </c>
      <c r="D345" s="496" t="s">
        <v>1609</v>
      </c>
      <c r="E345" s="496">
        <f>'MCS Budget - Detailed'!N411</f>
        <v>102</v>
      </c>
    </row>
    <row r="346" spans="1:5" x14ac:dyDescent="0.2">
      <c r="A346" s="496" t="s">
        <v>2005</v>
      </c>
      <c r="B346" s="496" t="s">
        <v>40</v>
      </c>
      <c r="C346" s="496" t="s">
        <v>1777</v>
      </c>
      <c r="D346" s="496" t="s">
        <v>1609</v>
      </c>
      <c r="E346" s="496">
        <f>'MCS Budget - Detailed'!N412</f>
        <v>489</v>
      </c>
    </row>
    <row r="347" spans="1:5" x14ac:dyDescent="0.2">
      <c r="A347" s="494" t="s">
        <v>2005</v>
      </c>
      <c r="B347" s="496" t="s">
        <v>40</v>
      </c>
      <c r="C347" s="496" t="s">
        <v>1778</v>
      </c>
      <c r="D347" s="496" t="s">
        <v>1609</v>
      </c>
      <c r="E347" s="496">
        <f>'MCS Budget - Detailed'!N413</f>
        <v>6880</v>
      </c>
    </row>
    <row r="348" spans="1:5" x14ac:dyDescent="0.2">
      <c r="A348" s="496" t="s">
        <v>2005</v>
      </c>
      <c r="B348" s="496" t="s">
        <v>40</v>
      </c>
      <c r="C348" s="496" t="s">
        <v>1779</v>
      </c>
      <c r="D348" s="496" t="s">
        <v>1609</v>
      </c>
      <c r="E348" s="496">
        <f>'MCS Budget - Detailed'!N414</f>
        <v>5141</v>
      </c>
    </row>
    <row r="349" spans="1:5" x14ac:dyDescent="0.2">
      <c r="A349" s="494" t="s">
        <v>2005</v>
      </c>
      <c r="B349" s="496" t="s">
        <v>40</v>
      </c>
      <c r="C349" s="496" t="s">
        <v>2608</v>
      </c>
      <c r="D349" s="496" t="s">
        <v>1609</v>
      </c>
      <c r="E349" s="496">
        <f>'MCS Budget - Detailed'!N415</f>
        <v>1012</v>
      </c>
    </row>
    <row r="350" spans="1:5" x14ac:dyDescent="0.2">
      <c r="A350" s="494" t="s">
        <v>2005</v>
      </c>
      <c r="B350" s="496" t="s">
        <v>40</v>
      </c>
      <c r="C350" s="496" t="s">
        <v>1780</v>
      </c>
      <c r="D350" s="496" t="s">
        <v>1609</v>
      </c>
      <c r="E350" s="496">
        <f>'MCS Budget - Detailed'!N416</f>
        <v>1000</v>
      </c>
    </row>
    <row r="351" spans="1:5" x14ac:dyDescent="0.2">
      <c r="A351" s="494" t="s">
        <v>2005</v>
      </c>
      <c r="B351" s="496" t="s">
        <v>40</v>
      </c>
      <c r="C351" s="496" t="s">
        <v>2609</v>
      </c>
      <c r="D351" s="496" t="s">
        <v>1609</v>
      </c>
      <c r="E351" s="496">
        <f>'MCS Budget - Detailed'!N417</f>
        <v>1000</v>
      </c>
    </row>
    <row r="352" spans="1:5" x14ac:dyDescent="0.2">
      <c r="A352" s="494" t="s">
        <v>2005</v>
      </c>
      <c r="B352" s="496" t="s">
        <v>40</v>
      </c>
      <c r="C352" s="496" t="s">
        <v>2103</v>
      </c>
      <c r="D352" s="496" t="s">
        <v>1609</v>
      </c>
      <c r="E352" s="496">
        <f>'MCS Budget - Detailed'!N419</f>
        <v>1518</v>
      </c>
    </row>
    <row r="353" spans="1:5" x14ac:dyDescent="0.2">
      <c r="A353" s="496" t="s">
        <v>2005</v>
      </c>
      <c r="B353" s="496" t="s">
        <v>40</v>
      </c>
      <c r="C353" s="496" t="s">
        <v>1781</v>
      </c>
      <c r="D353" s="496" t="s">
        <v>1609</v>
      </c>
      <c r="E353" s="496">
        <f>'MCS Budget - Detailed'!N421</f>
        <v>50389</v>
      </c>
    </row>
    <row r="354" spans="1:5" x14ac:dyDescent="0.2">
      <c r="A354" s="494" t="s">
        <v>2005</v>
      </c>
      <c r="B354" s="496" t="s">
        <v>40</v>
      </c>
      <c r="C354" s="496" t="s">
        <v>1782</v>
      </c>
      <c r="D354" s="496" t="s">
        <v>1609</v>
      </c>
      <c r="E354" s="496">
        <f>'MCS Budget - Detailed'!N422</f>
        <v>1250</v>
      </c>
    </row>
    <row r="355" spans="1:5" x14ac:dyDescent="0.2">
      <c r="A355" s="496" t="s">
        <v>2005</v>
      </c>
      <c r="B355" s="496" t="s">
        <v>40</v>
      </c>
      <c r="C355" s="496" t="s">
        <v>1783</v>
      </c>
      <c r="D355" s="496" t="s">
        <v>1609</v>
      </c>
      <c r="E355" s="496">
        <f>'MCS Budget - Detailed'!N423</f>
        <v>99</v>
      </c>
    </row>
    <row r="356" spans="1:5" x14ac:dyDescent="0.2">
      <c r="A356" s="494" t="s">
        <v>2005</v>
      </c>
      <c r="B356" s="496" t="s">
        <v>40</v>
      </c>
      <c r="C356" s="496" t="s">
        <v>1784</v>
      </c>
      <c r="D356" s="496" t="s">
        <v>1609</v>
      </c>
      <c r="E356" s="496">
        <f>'MCS Budget - Detailed'!N424</f>
        <v>155</v>
      </c>
    </row>
    <row r="357" spans="1:5" x14ac:dyDescent="0.2">
      <c r="A357" s="496" t="s">
        <v>2005</v>
      </c>
      <c r="B357" s="496" t="s">
        <v>40</v>
      </c>
      <c r="C357" s="496" t="s">
        <v>1785</v>
      </c>
      <c r="D357" s="496" t="s">
        <v>1609</v>
      </c>
      <c r="E357" s="496">
        <f>'MCS Budget - Detailed'!N425</f>
        <v>749</v>
      </c>
    </row>
    <row r="358" spans="1:5" x14ac:dyDescent="0.2">
      <c r="A358" s="494" t="s">
        <v>2005</v>
      </c>
      <c r="B358" s="496" t="s">
        <v>40</v>
      </c>
      <c r="C358" s="496" t="s">
        <v>1786</v>
      </c>
      <c r="D358" s="496" t="s">
        <v>1609</v>
      </c>
      <c r="E358" s="496">
        <f>'MCS Budget - Detailed'!N426</f>
        <v>10535</v>
      </c>
    </row>
    <row r="359" spans="1:5" x14ac:dyDescent="0.2">
      <c r="A359" s="496" t="s">
        <v>2005</v>
      </c>
      <c r="B359" s="496" t="s">
        <v>40</v>
      </c>
      <c r="C359" s="496" t="s">
        <v>1787</v>
      </c>
      <c r="D359" s="496" t="s">
        <v>1609</v>
      </c>
      <c r="E359" s="496">
        <f>'MCS Budget - Detailed'!N427</f>
        <v>9253</v>
      </c>
    </row>
    <row r="360" spans="1:5" x14ac:dyDescent="0.2">
      <c r="A360" s="496" t="s">
        <v>2005</v>
      </c>
      <c r="B360" s="496" t="s">
        <v>40</v>
      </c>
      <c r="C360" s="496" t="s">
        <v>2610</v>
      </c>
      <c r="D360" s="496" t="s">
        <v>1609</v>
      </c>
      <c r="E360" s="496">
        <f>'MCS Budget - Detailed'!N428</f>
        <v>1549</v>
      </c>
    </row>
    <row r="361" spans="1:5" x14ac:dyDescent="0.2">
      <c r="A361" s="496" t="s">
        <v>2005</v>
      </c>
      <c r="B361" s="496" t="s">
        <v>40</v>
      </c>
      <c r="C361" s="496" t="s">
        <v>2073</v>
      </c>
      <c r="D361" s="496" t="s">
        <v>1609</v>
      </c>
      <c r="E361" s="496">
        <f>'MCS Budget - Detailed'!N429</f>
        <v>0</v>
      </c>
    </row>
    <row r="362" spans="1:5" x14ac:dyDescent="0.2">
      <c r="A362" s="494" t="s">
        <v>2005</v>
      </c>
      <c r="B362" s="496" t="s">
        <v>40</v>
      </c>
      <c r="C362" s="496" t="s">
        <v>2611</v>
      </c>
      <c r="D362" s="496" t="s">
        <v>1609</v>
      </c>
      <c r="E362" s="496">
        <f>'MCS Budget - Detailed'!N430</f>
        <v>300</v>
      </c>
    </row>
    <row r="363" spans="1:5" x14ac:dyDescent="0.2">
      <c r="A363" s="494" t="s">
        <v>2005</v>
      </c>
      <c r="B363" s="496" t="s">
        <v>40</v>
      </c>
      <c r="C363" s="496" t="s">
        <v>1788</v>
      </c>
      <c r="D363" s="496" t="s">
        <v>1609</v>
      </c>
      <c r="E363" s="496">
        <f>'MCS Budget - Detailed'!N431</f>
        <v>1500</v>
      </c>
    </row>
    <row r="364" spans="1:5" x14ac:dyDescent="0.2">
      <c r="A364" s="494" t="s">
        <v>2005</v>
      </c>
      <c r="B364" s="496" t="s">
        <v>40</v>
      </c>
      <c r="C364" s="496" t="s">
        <v>2074</v>
      </c>
      <c r="D364" s="496" t="s">
        <v>1609</v>
      </c>
      <c r="E364" s="496">
        <f>'MCS Budget - Detailed'!N432</f>
        <v>4800</v>
      </c>
    </row>
    <row r="365" spans="1:5" x14ac:dyDescent="0.2">
      <c r="A365" s="494" t="s">
        <v>2005</v>
      </c>
      <c r="B365" s="496" t="s">
        <v>40</v>
      </c>
      <c r="C365" s="496" t="s">
        <v>2612</v>
      </c>
      <c r="D365" s="496" t="s">
        <v>1609</v>
      </c>
      <c r="E365" s="496">
        <f>'MCS Budget - Detailed'!N433</f>
        <v>1304</v>
      </c>
    </row>
    <row r="366" spans="1:5" x14ac:dyDescent="0.2">
      <c r="A366" s="494" t="s">
        <v>2005</v>
      </c>
      <c r="B366" s="496" t="s">
        <v>40</v>
      </c>
      <c r="C366" s="496" t="s">
        <v>2075</v>
      </c>
      <c r="D366" s="496" t="s">
        <v>1609</v>
      </c>
      <c r="E366" s="496">
        <f>'MCS Budget - Detailed'!N434</f>
        <v>5400</v>
      </c>
    </row>
    <row r="367" spans="1:5" x14ac:dyDescent="0.2">
      <c r="A367" s="496" t="s">
        <v>2005</v>
      </c>
      <c r="B367" s="496" t="s">
        <v>40</v>
      </c>
      <c r="C367" s="496" t="s">
        <v>1789</v>
      </c>
      <c r="D367" s="496" t="s">
        <v>1609</v>
      </c>
      <c r="E367" s="496">
        <f>'MCS Budget - Detailed'!N437</f>
        <v>30015</v>
      </c>
    </row>
    <row r="368" spans="1:5" x14ac:dyDescent="0.2">
      <c r="A368" s="496" t="s">
        <v>2005</v>
      </c>
      <c r="B368" s="496" t="s">
        <v>40</v>
      </c>
      <c r="C368" s="496" t="s">
        <v>2076</v>
      </c>
      <c r="D368" s="496" t="s">
        <v>1609</v>
      </c>
      <c r="E368" s="496">
        <f>'MCS Budget - Detailed'!N438</f>
        <v>900</v>
      </c>
    </row>
    <row r="369" spans="1:5" x14ac:dyDescent="0.2">
      <c r="A369" s="494" t="s">
        <v>2005</v>
      </c>
      <c r="B369" s="496" t="s">
        <v>40</v>
      </c>
      <c r="C369" s="496" t="s">
        <v>2077</v>
      </c>
      <c r="D369" s="496" t="s">
        <v>1609</v>
      </c>
      <c r="E369" s="496">
        <f>'MCS Budget - Detailed'!N439</f>
        <v>66</v>
      </c>
    </row>
    <row r="370" spans="1:5" x14ac:dyDescent="0.2">
      <c r="A370" s="494" t="s">
        <v>2005</v>
      </c>
      <c r="B370" s="496" t="s">
        <v>40</v>
      </c>
      <c r="C370" s="496" t="s">
        <v>1790</v>
      </c>
      <c r="D370" s="496" t="s">
        <v>1609</v>
      </c>
      <c r="E370" s="496">
        <f>'MCS Budget - Detailed'!N440</f>
        <v>93</v>
      </c>
    </row>
    <row r="371" spans="1:5" x14ac:dyDescent="0.2">
      <c r="A371" s="496" t="s">
        <v>2005</v>
      </c>
      <c r="B371" s="496" t="s">
        <v>40</v>
      </c>
      <c r="C371" s="496" t="s">
        <v>1791</v>
      </c>
      <c r="D371" s="496" t="s">
        <v>1609</v>
      </c>
      <c r="E371" s="496">
        <f>'MCS Budget - Detailed'!N441</f>
        <v>449</v>
      </c>
    </row>
    <row r="372" spans="1:5" x14ac:dyDescent="0.2">
      <c r="A372" s="494" t="s">
        <v>2005</v>
      </c>
      <c r="B372" s="496" t="s">
        <v>40</v>
      </c>
      <c r="C372" s="496" t="s">
        <v>1792</v>
      </c>
      <c r="D372" s="496" t="s">
        <v>1609</v>
      </c>
      <c r="E372" s="496">
        <f>'MCS Budget - Detailed'!N442</f>
        <v>6307</v>
      </c>
    </row>
    <row r="373" spans="1:5" x14ac:dyDescent="0.2">
      <c r="A373" s="494" t="s">
        <v>2005</v>
      </c>
      <c r="B373" s="496" t="s">
        <v>40</v>
      </c>
      <c r="C373" s="496" t="s">
        <v>2078</v>
      </c>
      <c r="D373" s="496" t="s">
        <v>1609</v>
      </c>
      <c r="E373" s="496">
        <f>'MCS Budget - Detailed'!N443</f>
        <v>6169</v>
      </c>
    </row>
    <row r="374" spans="1:5" x14ac:dyDescent="0.2">
      <c r="A374" s="494" t="s">
        <v>2005</v>
      </c>
      <c r="B374" s="496" t="s">
        <v>40</v>
      </c>
      <c r="C374" s="496" t="s">
        <v>2613</v>
      </c>
      <c r="D374" s="496" t="s">
        <v>1609</v>
      </c>
      <c r="E374" s="496">
        <f>'MCS Budget - Detailed'!N444</f>
        <v>927</v>
      </c>
    </row>
    <row r="375" spans="1:5" x14ac:dyDescent="0.2">
      <c r="A375" s="496" t="s">
        <v>2005</v>
      </c>
      <c r="B375" s="496" t="s">
        <v>40</v>
      </c>
      <c r="C375" s="496" t="s">
        <v>1793</v>
      </c>
      <c r="D375" s="496" t="s">
        <v>1609</v>
      </c>
      <c r="E375" s="496">
        <f>'MCS Budget - Detailed'!N445</f>
        <v>500</v>
      </c>
    </row>
    <row r="376" spans="1:5" x14ac:dyDescent="0.2">
      <c r="A376" s="496" t="s">
        <v>2005</v>
      </c>
      <c r="B376" s="496" t="s">
        <v>40</v>
      </c>
      <c r="C376" s="496" t="s">
        <v>2104</v>
      </c>
      <c r="D376" s="496" t="s">
        <v>1609</v>
      </c>
      <c r="E376" s="496">
        <f>'MCS Budget - Detailed'!N446</f>
        <v>1518</v>
      </c>
    </row>
    <row r="377" spans="1:5" x14ac:dyDescent="0.2">
      <c r="A377" s="494" t="s">
        <v>2005</v>
      </c>
      <c r="B377" s="496" t="s">
        <v>40</v>
      </c>
      <c r="C377" s="496" t="s">
        <v>1794</v>
      </c>
      <c r="D377" s="496" t="s">
        <v>1609</v>
      </c>
      <c r="E377" s="496">
        <f>'MCS Budget - Detailed'!N448</f>
        <v>10150</v>
      </c>
    </row>
    <row r="378" spans="1:5" x14ac:dyDescent="0.2">
      <c r="A378" s="494" t="s">
        <v>2005</v>
      </c>
      <c r="B378" s="496" t="s">
        <v>40</v>
      </c>
      <c r="C378" s="496" t="s">
        <v>2614</v>
      </c>
      <c r="D378" s="496" t="s">
        <v>1609</v>
      </c>
      <c r="E378" s="496">
        <f>'MCS Budget - Detailed'!N449</f>
        <v>1000</v>
      </c>
    </row>
    <row r="379" spans="1:5" x14ac:dyDescent="0.2">
      <c r="A379" s="496" t="s">
        <v>2005</v>
      </c>
      <c r="B379" s="496" t="s">
        <v>40</v>
      </c>
      <c r="C379" s="496" t="s">
        <v>1795</v>
      </c>
      <c r="D379" s="496" t="s">
        <v>1609</v>
      </c>
      <c r="E379" s="496">
        <f>'MCS Budget - Detailed'!N451</f>
        <v>31</v>
      </c>
    </row>
    <row r="380" spans="1:5" x14ac:dyDescent="0.2">
      <c r="A380" s="496" t="s">
        <v>2005</v>
      </c>
      <c r="B380" s="496" t="s">
        <v>40</v>
      </c>
      <c r="C380" s="496" t="s">
        <v>2615</v>
      </c>
      <c r="D380" s="496" t="s">
        <v>1609</v>
      </c>
      <c r="E380" s="496">
        <f>'MCS Budget - Detailed'!N452</f>
        <v>2</v>
      </c>
    </row>
    <row r="381" spans="1:5" x14ac:dyDescent="0.2">
      <c r="A381" s="494" t="s">
        <v>2005</v>
      </c>
      <c r="B381" s="496" t="s">
        <v>40</v>
      </c>
      <c r="C381" s="496" t="s">
        <v>1796</v>
      </c>
      <c r="D381" s="496" t="s">
        <v>1609</v>
      </c>
      <c r="E381" s="496">
        <f>'MCS Budget - Detailed'!N454</f>
        <v>148</v>
      </c>
    </row>
    <row r="382" spans="1:5" x14ac:dyDescent="0.2">
      <c r="A382" s="494" t="s">
        <v>2005</v>
      </c>
      <c r="B382" s="496" t="s">
        <v>40</v>
      </c>
      <c r="C382" s="496" t="s">
        <v>2616</v>
      </c>
      <c r="D382" s="496" t="s">
        <v>1609</v>
      </c>
      <c r="E382" s="496">
        <f>'MCS Budget - Detailed'!N455</f>
        <v>14</v>
      </c>
    </row>
    <row r="383" spans="1:5" x14ac:dyDescent="0.2">
      <c r="A383" s="496" t="s">
        <v>2005</v>
      </c>
      <c r="B383" s="496" t="s">
        <v>40</v>
      </c>
      <c r="C383" s="496" t="s">
        <v>1797</v>
      </c>
      <c r="D383" s="496" t="s">
        <v>1609</v>
      </c>
      <c r="E383" s="496">
        <f>'MCS Budget - Detailed'!N457</f>
        <v>2071</v>
      </c>
    </row>
    <row r="384" spans="1:5" x14ac:dyDescent="0.2">
      <c r="A384" s="496" t="s">
        <v>2005</v>
      </c>
      <c r="B384" s="496" t="s">
        <v>40</v>
      </c>
      <c r="C384" s="496" t="s">
        <v>2617</v>
      </c>
      <c r="D384" s="496" t="s">
        <v>1609</v>
      </c>
      <c r="E384" s="496">
        <f>'MCS Budget - Detailed'!N458</f>
        <v>204</v>
      </c>
    </row>
    <row r="385" spans="1:5" x14ac:dyDescent="0.2">
      <c r="A385" s="494" t="s">
        <v>2005</v>
      </c>
      <c r="B385" s="496" t="s">
        <v>40</v>
      </c>
      <c r="C385" s="496" t="s">
        <v>2618</v>
      </c>
      <c r="D385" s="496" t="s">
        <v>1609</v>
      </c>
      <c r="E385" s="496">
        <f>'MCS Budget - Detailed'!N460</f>
        <v>600</v>
      </c>
    </row>
    <row r="386" spans="1:5" x14ac:dyDescent="0.2">
      <c r="A386" s="494" t="s">
        <v>2005</v>
      </c>
      <c r="B386" s="496" t="s">
        <v>40</v>
      </c>
      <c r="C386" s="496" t="s">
        <v>1798</v>
      </c>
      <c r="D386" s="496" t="s">
        <v>1609</v>
      </c>
      <c r="E386" s="496">
        <f>'MCS Budget - Detailed'!N461</f>
        <v>500</v>
      </c>
    </row>
    <row r="387" spans="1:5" x14ac:dyDescent="0.2">
      <c r="A387" s="494" t="s">
        <v>2005</v>
      </c>
      <c r="B387" s="496" t="s">
        <v>40</v>
      </c>
      <c r="C387" s="496" t="s">
        <v>2619</v>
      </c>
      <c r="D387" s="496" t="s">
        <v>1609</v>
      </c>
      <c r="E387" s="496">
        <f>'MCS Budget - Detailed'!N462</f>
        <v>2530</v>
      </c>
    </row>
    <row r="388" spans="1:5" x14ac:dyDescent="0.2">
      <c r="A388" s="494" t="s">
        <v>2005</v>
      </c>
      <c r="B388" s="496" t="s">
        <v>40</v>
      </c>
      <c r="C388" s="496" t="s">
        <v>2079</v>
      </c>
      <c r="D388" s="496" t="s">
        <v>1609</v>
      </c>
      <c r="E388" s="496">
        <f>'MCS Budget - Detailed'!N463</f>
        <v>400</v>
      </c>
    </row>
    <row r="389" spans="1:5" x14ac:dyDescent="0.2">
      <c r="A389" s="496" t="s">
        <v>2005</v>
      </c>
      <c r="B389" s="496" t="s">
        <v>40</v>
      </c>
      <c r="C389" s="496" t="s">
        <v>1799</v>
      </c>
      <c r="D389" s="496" t="s">
        <v>1609</v>
      </c>
      <c r="E389" s="496">
        <f>'MCS Budget - Detailed'!N465</f>
        <v>500</v>
      </c>
    </row>
    <row r="390" spans="1:5" x14ac:dyDescent="0.2">
      <c r="A390" s="494" t="s">
        <v>2005</v>
      </c>
      <c r="B390" s="496" t="s">
        <v>40</v>
      </c>
      <c r="C390" s="496" t="s">
        <v>2080</v>
      </c>
      <c r="D390" s="496" t="s">
        <v>1609</v>
      </c>
      <c r="E390" s="496">
        <f>'MCS Budget - Detailed'!N467</f>
        <v>5168</v>
      </c>
    </row>
    <row r="391" spans="1:5" x14ac:dyDescent="0.2">
      <c r="A391" s="494" t="s">
        <v>2005</v>
      </c>
      <c r="B391" s="496" t="s">
        <v>40</v>
      </c>
      <c r="C391" s="496" t="s">
        <v>2081</v>
      </c>
      <c r="D391" s="496" t="s">
        <v>1609</v>
      </c>
      <c r="E391" s="496">
        <f>'MCS Budget - Detailed'!N468</f>
        <v>15</v>
      </c>
    </row>
    <row r="392" spans="1:5" x14ac:dyDescent="0.2">
      <c r="A392" s="494" t="s">
        <v>2005</v>
      </c>
      <c r="B392" s="496" t="s">
        <v>40</v>
      </c>
      <c r="C392" s="496" t="s">
        <v>2082</v>
      </c>
      <c r="D392" s="496" t="s">
        <v>1609</v>
      </c>
      <c r="E392" s="496">
        <f>'MCS Budget - Detailed'!N469</f>
        <v>75</v>
      </c>
    </row>
    <row r="393" spans="1:5" x14ac:dyDescent="0.2">
      <c r="A393" s="494" t="s">
        <v>2005</v>
      </c>
      <c r="B393" s="496" t="s">
        <v>40</v>
      </c>
      <c r="C393" s="496" t="s">
        <v>2083</v>
      </c>
      <c r="D393" s="496" t="s">
        <v>1609</v>
      </c>
      <c r="E393" s="496">
        <f>'MCS Budget - Detailed'!N470</f>
        <v>1042</v>
      </c>
    </row>
    <row r="394" spans="1:5" x14ac:dyDescent="0.2">
      <c r="A394" s="494" t="s">
        <v>2005</v>
      </c>
      <c r="B394" s="496" t="s">
        <v>40</v>
      </c>
      <c r="C394" s="496" t="s">
        <v>2084</v>
      </c>
      <c r="D394" s="496" t="s">
        <v>1609</v>
      </c>
      <c r="E394" s="496">
        <f>'MCS Budget - Detailed'!N471</f>
        <v>2544</v>
      </c>
    </row>
    <row r="395" spans="1:5" x14ac:dyDescent="0.2">
      <c r="A395" s="494" t="s">
        <v>2005</v>
      </c>
      <c r="B395" s="496" t="s">
        <v>40</v>
      </c>
      <c r="C395" s="496" t="s">
        <v>2674</v>
      </c>
      <c r="D395" s="496" t="s">
        <v>1609</v>
      </c>
      <c r="E395" s="496">
        <f>'MCS Budget - Detailed'!N473</f>
        <v>37822</v>
      </c>
    </row>
    <row r="396" spans="1:5" x14ac:dyDescent="0.2">
      <c r="A396" s="494" t="s">
        <v>2005</v>
      </c>
      <c r="B396" s="496" t="s">
        <v>40</v>
      </c>
      <c r="C396" s="496" t="s">
        <v>2624</v>
      </c>
      <c r="D396" s="496" t="s">
        <v>1609</v>
      </c>
      <c r="E396" s="496">
        <f>'MCS Budget - Detailed'!N474</f>
        <v>66</v>
      </c>
    </row>
    <row r="397" spans="1:5" x14ac:dyDescent="0.2">
      <c r="A397" s="494" t="s">
        <v>2005</v>
      </c>
      <c r="B397" s="496" t="s">
        <v>40</v>
      </c>
      <c r="C397" s="496" t="s">
        <v>2623</v>
      </c>
      <c r="D397" s="496" t="s">
        <v>1609</v>
      </c>
      <c r="E397" s="496">
        <f>'MCS Budget - Detailed'!N475</f>
        <v>114</v>
      </c>
    </row>
    <row r="398" spans="1:5" x14ac:dyDescent="0.2">
      <c r="A398" s="494" t="s">
        <v>2005</v>
      </c>
      <c r="B398" s="496" t="s">
        <v>40</v>
      </c>
      <c r="C398" s="496" t="s">
        <v>2622</v>
      </c>
      <c r="D398" s="496" t="s">
        <v>1609</v>
      </c>
      <c r="E398" s="496">
        <f>'MCS Budget - Detailed'!N476</f>
        <v>549</v>
      </c>
    </row>
    <row r="399" spans="1:5" x14ac:dyDescent="0.2">
      <c r="A399" s="494" t="s">
        <v>2005</v>
      </c>
      <c r="B399" s="496" t="s">
        <v>40</v>
      </c>
      <c r="C399" s="496" t="s">
        <v>2621</v>
      </c>
      <c r="D399" s="496" t="s">
        <v>1609</v>
      </c>
      <c r="E399" s="496">
        <f>'MCS Budget - Detailed'!N477</f>
        <v>7716</v>
      </c>
    </row>
    <row r="400" spans="1:5" x14ac:dyDescent="0.2">
      <c r="A400" s="494" t="s">
        <v>2005</v>
      </c>
      <c r="B400" s="496" t="s">
        <v>40</v>
      </c>
      <c r="C400" s="496" t="s">
        <v>2620</v>
      </c>
      <c r="D400" s="496" t="s">
        <v>1609</v>
      </c>
      <c r="E400" s="496">
        <f>'MCS Budget - Detailed'!N478</f>
        <v>6169</v>
      </c>
    </row>
    <row r="401" spans="1:5" x14ac:dyDescent="0.2">
      <c r="A401" s="494" t="s">
        <v>2005</v>
      </c>
      <c r="B401" s="496" t="s">
        <v>40</v>
      </c>
      <c r="C401" s="496" t="s">
        <v>2085</v>
      </c>
      <c r="D401" s="496" t="s">
        <v>1609</v>
      </c>
      <c r="E401" s="496">
        <f>'MCS Budget - Detailed'!N479+'MCS Budget - Detailed'!N480</f>
        <v>60300</v>
      </c>
    </row>
    <row r="402" spans="1:5" x14ac:dyDescent="0.2">
      <c r="A402" s="494" t="s">
        <v>2005</v>
      </c>
      <c r="B402" s="496" t="s">
        <v>40</v>
      </c>
      <c r="C402" s="496" t="s">
        <v>2626</v>
      </c>
      <c r="D402" s="496" t="s">
        <v>1609</v>
      </c>
      <c r="E402" s="496">
        <f>'MCS Budget - Detailed'!N481</f>
        <v>600</v>
      </c>
    </row>
    <row r="403" spans="1:5" x14ac:dyDescent="0.2">
      <c r="A403" s="494" t="s">
        <v>2005</v>
      </c>
      <c r="B403" s="496" t="s">
        <v>40</v>
      </c>
      <c r="C403" s="496" t="s">
        <v>2625</v>
      </c>
      <c r="D403" s="496" t="s">
        <v>1609</v>
      </c>
      <c r="E403" s="496">
        <f>'MCS Budget - Detailed'!N482</f>
        <v>10000</v>
      </c>
    </row>
    <row r="404" spans="1:5" x14ac:dyDescent="0.2">
      <c r="A404" s="494" t="s">
        <v>2005</v>
      </c>
      <c r="B404" s="496" t="s">
        <v>40</v>
      </c>
      <c r="C404" s="496" t="s">
        <v>2086</v>
      </c>
      <c r="D404" s="496" t="s">
        <v>1609</v>
      </c>
      <c r="E404" s="496">
        <f>'MCS Budget - Detailed'!N483</f>
        <v>1272</v>
      </c>
    </row>
    <row r="405" spans="1:5" x14ac:dyDescent="0.2">
      <c r="A405" s="494" t="s">
        <v>2005</v>
      </c>
      <c r="B405" s="496" t="s">
        <v>40</v>
      </c>
      <c r="C405" s="496" t="s">
        <v>2627</v>
      </c>
      <c r="D405" s="496" t="s">
        <v>1609</v>
      </c>
      <c r="E405" s="496">
        <f>'MCS Budget - Detailed'!N484</f>
        <v>20064</v>
      </c>
    </row>
    <row r="406" spans="1:5" x14ac:dyDescent="0.2">
      <c r="A406" s="494" t="s">
        <v>2005</v>
      </c>
      <c r="B406" s="496" t="s">
        <v>40</v>
      </c>
      <c r="C406" s="496" t="s">
        <v>2628</v>
      </c>
      <c r="D406" s="496" t="s">
        <v>1609</v>
      </c>
      <c r="E406" s="496">
        <f>'MCS Budget - Detailed'!N491</f>
        <v>12000</v>
      </c>
    </row>
    <row r="407" spans="1:5" x14ac:dyDescent="0.2">
      <c r="A407" s="494" t="s">
        <v>2005</v>
      </c>
      <c r="B407" s="496" t="s">
        <v>40</v>
      </c>
      <c r="C407" s="496" t="s">
        <v>1800</v>
      </c>
      <c r="D407" s="496" t="s">
        <v>1609</v>
      </c>
      <c r="E407" s="496">
        <f>'MCS Budget - Detailed'!N492</f>
        <v>1565</v>
      </c>
    </row>
    <row r="408" spans="1:5" x14ac:dyDescent="0.2">
      <c r="A408" s="494" t="s">
        <v>2005</v>
      </c>
      <c r="B408" s="496" t="s">
        <v>40</v>
      </c>
      <c r="C408" s="496" t="s">
        <v>2629</v>
      </c>
      <c r="D408" s="496" t="s">
        <v>1609</v>
      </c>
      <c r="E408" s="496">
        <f>'MCS Budget - Detailed'!N493</f>
        <v>3435</v>
      </c>
    </row>
    <row r="409" spans="1:5" x14ac:dyDescent="0.2">
      <c r="A409" s="496" t="s">
        <v>2005</v>
      </c>
      <c r="B409" s="496" t="s">
        <v>40</v>
      </c>
      <c r="C409" s="496" t="s">
        <v>1801</v>
      </c>
      <c r="D409" s="496" t="s">
        <v>1609</v>
      </c>
      <c r="E409" s="496">
        <f>'MCS Budget - Detailed'!N495</f>
        <v>5000</v>
      </c>
    </row>
    <row r="410" spans="1:5" x14ac:dyDescent="0.2">
      <c r="A410" s="494" t="s">
        <v>2005</v>
      </c>
      <c r="B410" s="496" t="s">
        <v>40</v>
      </c>
      <c r="C410" s="496" t="s">
        <v>2087</v>
      </c>
      <c r="D410" s="496" t="s">
        <v>1609</v>
      </c>
      <c r="E410" s="496">
        <f>'MCS Budget - Detailed'!N497</f>
        <v>15</v>
      </c>
    </row>
    <row r="411" spans="1:5" x14ac:dyDescent="0.2">
      <c r="A411" s="496" t="s">
        <v>2005</v>
      </c>
      <c r="B411" s="496" t="s">
        <v>40</v>
      </c>
      <c r="C411" s="496" t="s">
        <v>1802</v>
      </c>
      <c r="D411" s="496" t="s">
        <v>1609</v>
      </c>
      <c r="E411" s="496">
        <f>'MCS Budget - Detailed'!N498</f>
        <v>73</v>
      </c>
    </row>
    <row r="412" spans="1:5" x14ac:dyDescent="0.2">
      <c r="A412" s="494" t="s">
        <v>2005</v>
      </c>
      <c r="B412" s="496" t="s">
        <v>40</v>
      </c>
      <c r="C412" s="496" t="s">
        <v>1803</v>
      </c>
      <c r="D412" s="496" t="s">
        <v>1609</v>
      </c>
      <c r="E412" s="496">
        <f>'MCS Budget - Detailed'!N499</f>
        <v>1020</v>
      </c>
    </row>
    <row r="413" spans="1:5" x14ac:dyDescent="0.2">
      <c r="A413" s="494" t="s">
        <v>2005</v>
      </c>
      <c r="B413" s="496" t="s">
        <v>40</v>
      </c>
      <c r="C413" s="496" t="s">
        <v>2630</v>
      </c>
      <c r="D413" s="496" t="s">
        <v>1609</v>
      </c>
      <c r="E413" s="496">
        <f>'MCS Budget - Detailed'!N501</f>
        <v>132</v>
      </c>
    </row>
    <row r="414" spans="1:5" x14ac:dyDescent="0.2">
      <c r="A414" s="496" t="s">
        <v>2005</v>
      </c>
      <c r="B414" s="496" t="s">
        <v>40</v>
      </c>
      <c r="C414" s="496" t="s">
        <v>1804</v>
      </c>
      <c r="D414" s="496" t="s">
        <v>1609</v>
      </c>
      <c r="E414" s="496">
        <f>'MCS Budget - Detailed'!N503</f>
        <v>65200</v>
      </c>
    </row>
    <row r="415" spans="1:5" x14ac:dyDescent="0.2">
      <c r="A415" s="494" t="s">
        <v>2005</v>
      </c>
      <c r="B415" s="496" t="s">
        <v>40</v>
      </c>
      <c r="C415" s="496" t="s">
        <v>2088</v>
      </c>
      <c r="D415" s="496" t="s">
        <v>1609</v>
      </c>
      <c r="E415" s="496">
        <f>'MCS Budget - Detailed'!N504</f>
        <v>4601</v>
      </c>
    </row>
    <row r="416" spans="1:5" x14ac:dyDescent="0.2">
      <c r="A416" s="494" t="s">
        <v>2005</v>
      </c>
      <c r="B416" s="496" t="s">
        <v>40</v>
      </c>
      <c r="C416" s="496" t="s">
        <v>1805</v>
      </c>
      <c r="D416" s="496" t="s">
        <v>1609</v>
      </c>
      <c r="E416" s="496">
        <f>'MCS Budget - Detailed'!N505</f>
        <v>29000</v>
      </c>
    </row>
    <row r="417" spans="1:5" x14ac:dyDescent="0.2">
      <c r="A417" s="496" t="s">
        <v>2005</v>
      </c>
      <c r="B417" s="496" t="s">
        <v>40</v>
      </c>
      <c r="C417" s="496" t="s">
        <v>2089</v>
      </c>
      <c r="D417" s="496" t="s">
        <v>1609</v>
      </c>
      <c r="E417" s="496">
        <f>'MCS Budget - Detailed'!N506</f>
        <v>3000</v>
      </c>
    </row>
    <row r="418" spans="1:5" x14ac:dyDescent="0.2">
      <c r="A418" s="494" t="s">
        <v>2005</v>
      </c>
      <c r="B418" s="496" t="s">
        <v>40</v>
      </c>
      <c r="C418" s="496" t="s">
        <v>1806</v>
      </c>
      <c r="D418" s="496" t="s">
        <v>1609</v>
      </c>
      <c r="E418" s="496">
        <f>'MCS Budget - Detailed'!N507</f>
        <v>66</v>
      </c>
    </row>
    <row r="419" spans="1:5" x14ac:dyDescent="0.2">
      <c r="A419" s="494" t="s">
        <v>2005</v>
      </c>
      <c r="B419" s="496" t="s">
        <v>40</v>
      </c>
      <c r="C419" s="496" t="s">
        <v>2090</v>
      </c>
      <c r="D419" s="496" t="s">
        <v>1609</v>
      </c>
      <c r="E419" s="496">
        <f>'MCS Budget - Detailed'!N508</f>
        <v>14</v>
      </c>
    </row>
    <row r="420" spans="1:5" x14ac:dyDescent="0.2">
      <c r="A420" s="496" t="s">
        <v>2005</v>
      </c>
      <c r="B420" s="496" t="s">
        <v>40</v>
      </c>
      <c r="C420" s="496" t="s">
        <v>1807</v>
      </c>
      <c r="D420" s="496" t="s">
        <v>1609</v>
      </c>
      <c r="E420" s="496">
        <f>'MCS Budget - Detailed'!N509</f>
        <v>66</v>
      </c>
    </row>
    <row r="421" spans="1:5" x14ac:dyDescent="0.2">
      <c r="A421" s="494" t="s">
        <v>2005</v>
      </c>
      <c r="B421" s="496" t="s">
        <v>40</v>
      </c>
      <c r="C421" s="496" t="s">
        <v>1808</v>
      </c>
      <c r="D421" s="496" t="s">
        <v>1609</v>
      </c>
      <c r="E421" s="496">
        <f>'MCS Budget - Detailed'!N510</f>
        <v>208</v>
      </c>
    </row>
    <row r="422" spans="1:5" x14ac:dyDescent="0.2">
      <c r="A422" s="494" t="s">
        <v>2005</v>
      </c>
      <c r="B422" s="496" t="s">
        <v>40</v>
      </c>
      <c r="C422" s="496" t="s">
        <v>2091</v>
      </c>
      <c r="D422" s="496" t="s">
        <v>1609</v>
      </c>
      <c r="E422" s="496">
        <f>'MCS Budget - Detailed'!N511</f>
        <v>12</v>
      </c>
    </row>
    <row r="423" spans="1:5" x14ac:dyDescent="0.2">
      <c r="A423" s="496" t="s">
        <v>2005</v>
      </c>
      <c r="B423" s="496" t="s">
        <v>40</v>
      </c>
      <c r="C423" s="496" t="s">
        <v>1809</v>
      </c>
      <c r="D423" s="496" t="s">
        <v>1609</v>
      </c>
      <c r="E423" s="496">
        <f>'MCS Budget - Detailed'!N512</f>
        <v>87</v>
      </c>
    </row>
    <row r="424" spans="1:5" x14ac:dyDescent="0.2">
      <c r="A424" s="494" t="s">
        <v>2005</v>
      </c>
      <c r="B424" s="496" t="s">
        <v>40</v>
      </c>
      <c r="C424" s="496" t="s">
        <v>1810</v>
      </c>
      <c r="D424" s="496" t="s">
        <v>1609</v>
      </c>
      <c r="E424" s="496">
        <f>'MCS Budget - Detailed'!N513</f>
        <v>1004</v>
      </c>
    </row>
    <row r="425" spans="1:5" x14ac:dyDescent="0.2">
      <c r="A425" s="494" t="s">
        <v>2005</v>
      </c>
      <c r="B425" s="496" t="s">
        <v>40</v>
      </c>
      <c r="C425" s="496" t="s">
        <v>2092</v>
      </c>
      <c r="D425" s="496" t="s">
        <v>1609</v>
      </c>
      <c r="E425" s="496">
        <f>'MCS Budget - Detailed'!N514</f>
        <v>67</v>
      </c>
    </row>
    <row r="426" spans="1:5" x14ac:dyDescent="0.2">
      <c r="A426" s="496" t="s">
        <v>2005</v>
      </c>
      <c r="B426" s="496" t="s">
        <v>40</v>
      </c>
      <c r="C426" s="496" t="s">
        <v>1811</v>
      </c>
      <c r="D426" s="496" t="s">
        <v>1609</v>
      </c>
      <c r="E426" s="496">
        <f>'MCS Budget - Detailed'!N515</f>
        <v>421</v>
      </c>
    </row>
    <row r="427" spans="1:5" x14ac:dyDescent="0.2">
      <c r="A427" s="494" t="s">
        <v>2005</v>
      </c>
      <c r="B427" s="496" t="s">
        <v>40</v>
      </c>
      <c r="C427" s="496" t="s">
        <v>1812</v>
      </c>
      <c r="D427" s="496" t="s">
        <v>1609</v>
      </c>
      <c r="E427" s="496">
        <f>'MCS Budget - Detailed'!N516</f>
        <v>14117</v>
      </c>
    </row>
    <row r="428" spans="1:5" x14ac:dyDescent="0.2">
      <c r="A428" s="494" t="s">
        <v>2005</v>
      </c>
      <c r="B428" s="496" t="s">
        <v>40</v>
      </c>
      <c r="C428" s="496" t="s">
        <v>2093</v>
      </c>
      <c r="D428" s="496" t="s">
        <v>1609</v>
      </c>
      <c r="E428" s="496">
        <f>'MCS Budget - Detailed'!N517</f>
        <v>939</v>
      </c>
    </row>
    <row r="429" spans="1:5" x14ac:dyDescent="0.2">
      <c r="A429" s="496" t="s">
        <v>2005</v>
      </c>
      <c r="B429" s="496" t="s">
        <v>40</v>
      </c>
      <c r="C429" s="496" t="s">
        <v>1813</v>
      </c>
      <c r="D429" s="496" t="s">
        <v>1609</v>
      </c>
      <c r="E429" s="496">
        <f>'MCS Budget - Detailed'!N518</f>
        <v>5916</v>
      </c>
    </row>
    <row r="430" spans="1:5" x14ac:dyDescent="0.2">
      <c r="A430" s="494" t="s">
        <v>2005</v>
      </c>
      <c r="B430" s="496" t="s">
        <v>40</v>
      </c>
      <c r="C430" s="496" t="s">
        <v>1814</v>
      </c>
      <c r="D430" s="496" t="s">
        <v>1609</v>
      </c>
      <c r="E430" s="496">
        <f>'MCS Budget - Detailed'!N519</f>
        <v>6132</v>
      </c>
    </row>
    <row r="431" spans="1:5" x14ac:dyDescent="0.2">
      <c r="A431" s="494" t="s">
        <v>2005</v>
      </c>
      <c r="B431" s="496" t="s">
        <v>40</v>
      </c>
      <c r="C431" s="496" t="s">
        <v>2094</v>
      </c>
      <c r="D431" s="496" t="s">
        <v>1609</v>
      </c>
      <c r="E431" s="496">
        <f>'MCS Budget - Detailed'!N520</f>
        <v>1227</v>
      </c>
    </row>
    <row r="432" spans="1:5" x14ac:dyDescent="0.2">
      <c r="A432" s="496" t="s">
        <v>2005</v>
      </c>
      <c r="B432" s="496" t="s">
        <v>40</v>
      </c>
      <c r="C432" s="496" t="s">
        <v>1815</v>
      </c>
      <c r="D432" s="496" t="s">
        <v>1609</v>
      </c>
      <c r="E432" s="496">
        <f>'MCS Budget - Detailed'!N521</f>
        <v>6132</v>
      </c>
    </row>
    <row r="433" spans="1:5" x14ac:dyDescent="0.2">
      <c r="A433" s="496" t="s">
        <v>2005</v>
      </c>
      <c r="B433" s="496" t="s">
        <v>40</v>
      </c>
      <c r="C433" s="496" t="s">
        <v>2632</v>
      </c>
      <c r="D433" s="496" t="s">
        <v>1609</v>
      </c>
      <c r="E433" s="496">
        <f>'MCS Budget - Detailed'!N522</f>
        <v>1956</v>
      </c>
    </row>
    <row r="434" spans="1:5" x14ac:dyDescent="0.2">
      <c r="A434" s="496" t="s">
        <v>2005</v>
      </c>
      <c r="B434" s="496" t="s">
        <v>40</v>
      </c>
      <c r="C434" s="496" t="s">
        <v>2633</v>
      </c>
      <c r="D434" s="496" t="s">
        <v>1609</v>
      </c>
      <c r="E434" s="496">
        <f>'MCS Budget - Detailed'!N523</f>
        <v>138</v>
      </c>
    </row>
    <row r="435" spans="1:5" x14ac:dyDescent="0.2">
      <c r="A435" s="496" t="s">
        <v>2005</v>
      </c>
      <c r="B435" s="496" t="s">
        <v>40</v>
      </c>
      <c r="C435" s="496" t="s">
        <v>2631</v>
      </c>
      <c r="D435" s="496" t="s">
        <v>1609</v>
      </c>
      <c r="E435" s="496">
        <f>'MCS Budget - Detailed'!N524</f>
        <v>870</v>
      </c>
    </row>
    <row r="436" spans="1:5" x14ac:dyDescent="0.2">
      <c r="A436" s="496" t="s">
        <v>2005</v>
      </c>
      <c r="B436" s="496" t="s">
        <v>40</v>
      </c>
      <c r="C436" s="496" t="s">
        <v>1816</v>
      </c>
      <c r="D436" s="496" t="s">
        <v>1609</v>
      </c>
      <c r="E436" s="496">
        <f>'MCS Budget - Detailed'!N525</f>
        <v>5000</v>
      </c>
    </row>
    <row r="437" spans="1:5" x14ac:dyDescent="0.2">
      <c r="A437" s="496" t="s">
        <v>2005</v>
      </c>
      <c r="B437" s="496" t="s">
        <v>40</v>
      </c>
      <c r="C437" s="496" t="s">
        <v>2634</v>
      </c>
      <c r="D437" s="496" t="s">
        <v>1609</v>
      </c>
      <c r="E437" s="496">
        <f>'MCS Budget - Detailed'!N526</f>
        <v>6500</v>
      </c>
    </row>
    <row r="438" spans="1:5" x14ac:dyDescent="0.2">
      <c r="A438" s="496" t="s">
        <v>2005</v>
      </c>
      <c r="B438" s="496" t="s">
        <v>40</v>
      </c>
      <c r="C438" s="496" t="s">
        <v>1817</v>
      </c>
      <c r="D438" s="496" t="s">
        <v>1609</v>
      </c>
      <c r="E438" s="496">
        <f>'MCS Budget - Detailed'!N527</f>
        <v>3000</v>
      </c>
    </row>
    <row r="439" spans="1:5" x14ac:dyDescent="0.2">
      <c r="A439" s="494" t="s">
        <v>2005</v>
      </c>
      <c r="B439" s="496" t="s">
        <v>40</v>
      </c>
      <c r="C439" s="496" t="s">
        <v>1818</v>
      </c>
      <c r="D439" s="496" t="s">
        <v>1609</v>
      </c>
      <c r="E439" s="496">
        <f>'MCS Budget - Detailed'!N528</f>
        <v>1000</v>
      </c>
    </row>
    <row r="440" spans="1:5" x14ac:dyDescent="0.2">
      <c r="A440" s="496" t="s">
        <v>2005</v>
      </c>
      <c r="B440" s="496" t="s">
        <v>40</v>
      </c>
      <c r="C440" s="496" t="s">
        <v>1819</v>
      </c>
      <c r="D440" s="496" t="s">
        <v>1609</v>
      </c>
      <c r="E440" s="496">
        <f>'MCS Budget - Detailed'!N529</f>
        <v>1500</v>
      </c>
    </row>
    <row r="441" spans="1:5" x14ac:dyDescent="0.2">
      <c r="A441" s="494" t="s">
        <v>2005</v>
      </c>
      <c r="B441" s="496" t="s">
        <v>40</v>
      </c>
      <c r="C441" s="496" t="s">
        <v>1820</v>
      </c>
      <c r="D441" s="496" t="s">
        <v>1609</v>
      </c>
      <c r="E441" s="496">
        <f>'MCS Budget - Detailed'!N530</f>
        <v>5000</v>
      </c>
    </row>
    <row r="442" spans="1:5" x14ac:dyDescent="0.2">
      <c r="A442" s="496" t="s">
        <v>2005</v>
      </c>
      <c r="B442" s="496" t="s">
        <v>40</v>
      </c>
      <c r="C442" s="496" t="s">
        <v>1821</v>
      </c>
      <c r="D442" s="496" t="s">
        <v>1609</v>
      </c>
      <c r="E442" s="496">
        <f>'MCS Budget - Detailed'!N532</f>
        <v>2000</v>
      </c>
    </row>
    <row r="443" spans="1:5" x14ac:dyDescent="0.2">
      <c r="A443" s="494" t="s">
        <v>2005</v>
      </c>
      <c r="B443" s="496" t="s">
        <v>40</v>
      </c>
      <c r="C443" s="496" t="s">
        <v>1822</v>
      </c>
      <c r="D443" s="496" t="s">
        <v>1609</v>
      </c>
      <c r="E443" s="496">
        <f>'MCS Budget - Detailed'!N534</f>
        <v>600</v>
      </c>
    </row>
    <row r="444" spans="1:5" x14ac:dyDescent="0.2">
      <c r="A444" s="496" t="s">
        <v>2005</v>
      </c>
      <c r="B444" s="496" t="s">
        <v>40</v>
      </c>
      <c r="C444" s="496" t="s">
        <v>2095</v>
      </c>
      <c r="D444" s="496" t="s">
        <v>1609</v>
      </c>
      <c r="E444" s="496">
        <f>'MCS Budget - Detailed'!N537</f>
        <v>1087</v>
      </c>
    </row>
    <row r="445" spans="1:5" x14ac:dyDescent="0.2">
      <c r="A445" s="496" t="s">
        <v>2005</v>
      </c>
      <c r="B445" s="496" t="s">
        <v>40</v>
      </c>
      <c r="C445" s="496" t="s">
        <v>2096</v>
      </c>
      <c r="D445" s="496" t="s">
        <v>1609</v>
      </c>
      <c r="E445" s="496">
        <f>'MCS Budget - Detailed'!N538</f>
        <v>4239</v>
      </c>
    </row>
    <row r="446" spans="1:5" x14ac:dyDescent="0.2">
      <c r="A446" s="496" t="s">
        <v>2005</v>
      </c>
      <c r="B446" s="496" t="s">
        <v>40</v>
      </c>
      <c r="C446" s="496" t="s">
        <v>1823</v>
      </c>
      <c r="D446" s="496" t="s">
        <v>1609</v>
      </c>
      <c r="E446" s="496">
        <f>'MCS Budget - Detailed'!N540</f>
        <v>8910</v>
      </c>
    </row>
    <row r="447" spans="1:5" x14ac:dyDescent="0.2">
      <c r="A447" s="496" t="s">
        <v>2005</v>
      </c>
      <c r="B447" s="496" t="s">
        <v>40</v>
      </c>
      <c r="C447" s="496" t="s">
        <v>1824</v>
      </c>
      <c r="D447" s="496" t="s">
        <v>1609</v>
      </c>
      <c r="E447" s="496">
        <f>'MCS Budget - Detailed'!N542</f>
        <v>13</v>
      </c>
    </row>
    <row r="448" spans="1:5" x14ac:dyDescent="0.2">
      <c r="A448" s="494" t="s">
        <v>2005</v>
      </c>
      <c r="B448" s="496" t="s">
        <v>40</v>
      </c>
      <c r="C448" s="496" t="s">
        <v>1825</v>
      </c>
      <c r="D448" s="496" t="s">
        <v>1609</v>
      </c>
      <c r="E448" s="496">
        <f>'MCS Budget - Detailed'!N543</f>
        <v>27</v>
      </c>
    </row>
    <row r="449" spans="1:5" x14ac:dyDescent="0.2">
      <c r="A449" s="496" t="s">
        <v>2005</v>
      </c>
      <c r="B449" s="496" t="s">
        <v>40</v>
      </c>
      <c r="C449" s="496" t="s">
        <v>1826</v>
      </c>
      <c r="D449" s="496" t="s">
        <v>1609</v>
      </c>
      <c r="E449" s="496">
        <f>'MCS Budget - Detailed'!N545</f>
        <v>130</v>
      </c>
    </row>
    <row r="450" spans="1:5" x14ac:dyDescent="0.2">
      <c r="A450" s="494" t="s">
        <v>2005</v>
      </c>
      <c r="B450" s="496" t="s">
        <v>40</v>
      </c>
      <c r="C450" s="496" t="s">
        <v>1827</v>
      </c>
      <c r="D450" s="496" t="s">
        <v>1609</v>
      </c>
      <c r="E450" s="496">
        <f>'MCS Budget - Detailed'!N547</f>
        <v>1818</v>
      </c>
    </row>
    <row r="451" spans="1:5" x14ac:dyDescent="0.2">
      <c r="A451" s="496" t="s">
        <v>2005</v>
      </c>
      <c r="B451" s="496" t="s">
        <v>40</v>
      </c>
      <c r="C451" s="496" t="s">
        <v>1828</v>
      </c>
      <c r="D451" s="496" t="s">
        <v>1609</v>
      </c>
      <c r="E451" s="496">
        <f>'MCS Budget - Detailed'!N549</f>
        <v>1157</v>
      </c>
    </row>
    <row r="452" spans="1:5" x14ac:dyDescent="0.2">
      <c r="A452" s="496" t="s">
        <v>2005</v>
      </c>
      <c r="B452" s="496" t="s">
        <v>40</v>
      </c>
      <c r="C452" s="496" t="s">
        <v>2635</v>
      </c>
      <c r="D452" s="496" t="s">
        <v>1609</v>
      </c>
      <c r="E452" s="496">
        <f>'MCS Budget - Detailed'!N550</f>
        <v>267</v>
      </c>
    </row>
    <row r="453" spans="1:5" x14ac:dyDescent="0.2">
      <c r="A453" s="496" t="s">
        <v>2005</v>
      </c>
      <c r="B453" s="496" t="s">
        <v>40</v>
      </c>
      <c r="C453" s="496" t="s">
        <v>2691</v>
      </c>
      <c r="D453" s="496" t="s">
        <v>1609</v>
      </c>
      <c r="E453" s="496">
        <f>'MCS Budget - Detailed'!N551</f>
        <v>1200</v>
      </c>
    </row>
    <row r="454" spans="1:5" x14ac:dyDescent="0.2">
      <c r="A454" s="494" t="s">
        <v>2005</v>
      </c>
      <c r="B454" s="496" t="s">
        <v>40</v>
      </c>
      <c r="C454" s="496" t="s">
        <v>1829</v>
      </c>
      <c r="D454" s="496" t="s">
        <v>1609</v>
      </c>
      <c r="E454" s="496">
        <f>'MCS Budget - Detailed'!N552</f>
        <v>300</v>
      </c>
    </row>
    <row r="455" spans="1:5" x14ac:dyDescent="0.2">
      <c r="A455" s="494" t="s">
        <v>2005</v>
      </c>
      <c r="B455" s="496" t="s">
        <v>40</v>
      </c>
      <c r="C455" s="496" t="s">
        <v>2097</v>
      </c>
      <c r="D455" s="496" t="s">
        <v>1609</v>
      </c>
      <c r="E455" s="496">
        <f>'MCS Budget - Detailed'!N553</f>
        <v>13285</v>
      </c>
    </row>
    <row r="456" spans="1:5" x14ac:dyDescent="0.2">
      <c r="A456" s="496" t="s">
        <v>2005</v>
      </c>
      <c r="B456" s="496" t="s">
        <v>40</v>
      </c>
      <c r="C456" s="496" t="s">
        <v>1830</v>
      </c>
      <c r="D456" s="496" t="s">
        <v>1609</v>
      </c>
      <c r="E456" s="496">
        <f>'MCS Budget - Detailed'!N554</f>
        <v>8500</v>
      </c>
    </row>
    <row r="457" spans="1:5" x14ac:dyDescent="0.2">
      <c r="A457" s="496" t="s">
        <v>2005</v>
      </c>
      <c r="B457" s="496" t="s">
        <v>40</v>
      </c>
      <c r="C457" s="496" t="s">
        <v>2098</v>
      </c>
      <c r="D457" s="496" t="s">
        <v>1609</v>
      </c>
      <c r="E457" s="496">
        <f>'MCS Budget - Detailed'!N555</f>
        <v>7552</v>
      </c>
    </row>
    <row r="458" spans="1:5" x14ac:dyDescent="0.2">
      <c r="A458" s="496" t="s">
        <v>2005</v>
      </c>
      <c r="B458" s="496" t="s">
        <v>40</v>
      </c>
      <c r="C458" s="496" t="s">
        <v>2099</v>
      </c>
      <c r="D458" s="496" t="s">
        <v>1609</v>
      </c>
      <c r="E458" s="496">
        <f>'MCS Budget - Detailed'!N558</f>
        <v>59265</v>
      </c>
    </row>
    <row r="459" spans="1:5" x14ac:dyDescent="0.2">
      <c r="A459" s="496" t="s">
        <v>2005</v>
      </c>
      <c r="B459" s="496" t="s">
        <v>40</v>
      </c>
      <c r="C459" s="496" t="s">
        <v>2636</v>
      </c>
      <c r="D459" s="496" t="s">
        <v>1609</v>
      </c>
      <c r="E459" s="496">
        <f>'MCS Budget - Detailed'!N559</f>
        <v>100</v>
      </c>
    </row>
    <row r="460" spans="1:5" x14ac:dyDescent="0.2">
      <c r="A460" s="496" t="s">
        <v>2005</v>
      </c>
      <c r="B460" s="496" t="s">
        <v>40</v>
      </c>
      <c r="C460" s="496" t="s">
        <v>2100</v>
      </c>
      <c r="D460" s="496" t="s">
        <v>1609</v>
      </c>
      <c r="E460" s="496">
        <f>'MCS Budget - Detailed'!N560</f>
        <v>9984</v>
      </c>
    </row>
    <row r="461" spans="1:5" x14ac:dyDescent="0.2">
      <c r="A461" s="496" t="s">
        <v>2005</v>
      </c>
      <c r="B461" s="496" t="s">
        <v>40</v>
      </c>
      <c r="C461" s="496" t="s">
        <v>2637</v>
      </c>
      <c r="D461" s="496" t="s">
        <v>1609</v>
      </c>
      <c r="E461" s="496">
        <f>'MCS Budget - Detailed'!N561+'MCS Budget - Detailed'!N562</f>
        <v>6719</v>
      </c>
    </row>
    <row r="462" spans="1:5" x14ac:dyDescent="0.2">
      <c r="A462" s="496" t="s">
        <v>2005</v>
      </c>
      <c r="B462" s="496" t="s">
        <v>40</v>
      </c>
      <c r="C462" s="496" t="s">
        <v>2638</v>
      </c>
      <c r="D462" s="496" t="s">
        <v>1609</v>
      </c>
      <c r="E462" s="496">
        <f>'MCS Budget - Detailed'!N566+'MCS Budget - Detailed'!N567</f>
        <v>20</v>
      </c>
    </row>
    <row r="463" spans="1:5" x14ac:dyDescent="0.2">
      <c r="A463" s="496" t="s">
        <v>2005</v>
      </c>
      <c r="B463" s="496" t="s">
        <v>40</v>
      </c>
      <c r="C463" s="496" t="s">
        <v>2639</v>
      </c>
      <c r="D463" s="496" t="s">
        <v>1609</v>
      </c>
      <c r="E463" s="496">
        <f>'MCS Budget - Detailed'!N569+'MCS Budget - Detailed'!N570</f>
        <v>97</v>
      </c>
    </row>
    <row r="464" spans="1:5" x14ac:dyDescent="0.2">
      <c r="A464" s="496" t="s">
        <v>2005</v>
      </c>
      <c r="B464" s="496" t="s">
        <v>40</v>
      </c>
      <c r="C464" s="496" t="s">
        <v>2640</v>
      </c>
      <c r="D464" s="496" t="s">
        <v>1609</v>
      </c>
      <c r="E464" s="496">
        <f>'MCS Budget - Detailed'!N572+'MCS Budget - Detailed'!N573</f>
        <v>1371</v>
      </c>
    </row>
    <row r="465" spans="1:5" x14ac:dyDescent="0.2">
      <c r="A465" s="496" t="s">
        <v>2005</v>
      </c>
      <c r="B465" s="496" t="s">
        <v>40</v>
      </c>
      <c r="C465" s="496" t="s">
        <v>2101</v>
      </c>
      <c r="D465" s="496" t="s">
        <v>1609</v>
      </c>
      <c r="E465" s="496">
        <f>'MCS Budget - Detailed'!N575</f>
        <v>7500</v>
      </c>
    </row>
    <row r="466" spans="1:5" x14ac:dyDescent="0.2">
      <c r="A466" s="496" t="s">
        <v>2005</v>
      </c>
      <c r="B466" s="496" t="s">
        <v>40</v>
      </c>
      <c r="C466" s="496" t="s">
        <v>2641</v>
      </c>
      <c r="D466" s="496" t="s">
        <v>1609</v>
      </c>
      <c r="E466" s="496">
        <f>'MCS Budget - Detailed'!N576</f>
        <v>1330</v>
      </c>
    </row>
    <row r="467" spans="1:5" x14ac:dyDescent="0.2">
      <c r="A467" s="496" t="s">
        <v>2005</v>
      </c>
      <c r="B467" s="496" t="s">
        <v>40</v>
      </c>
      <c r="C467" s="496" t="s">
        <v>2102</v>
      </c>
      <c r="D467" s="496" t="s">
        <v>1609</v>
      </c>
      <c r="E467" s="496">
        <f>'MCS Budget - Detailed'!N577</f>
        <v>4063</v>
      </c>
    </row>
    <row r="468" spans="1:5" x14ac:dyDescent="0.2">
      <c r="A468" s="494" t="s">
        <v>2005</v>
      </c>
      <c r="B468" s="496" t="s">
        <v>40</v>
      </c>
      <c r="C468" s="496" t="s">
        <v>1831</v>
      </c>
      <c r="D468" s="496" t="s">
        <v>1609</v>
      </c>
      <c r="E468" s="496">
        <f>'MCS Budget - Detailed'!N580</f>
        <v>8289</v>
      </c>
    </row>
    <row r="469" spans="1:5" x14ac:dyDescent="0.2">
      <c r="A469" s="494" t="s">
        <v>2005</v>
      </c>
      <c r="B469" s="496" t="s">
        <v>40</v>
      </c>
      <c r="C469" s="496" t="s">
        <v>2105</v>
      </c>
      <c r="D469" s="496" t="s">
        <v>1609</v>
      </c>
      <c r="E469" s="496">
        <f>'MCS Budget - Detailed'!N582</f>
        <v>500</v>
      </c>
    </row>
    <row r="470" spans="1:5" x14ac:dyDescent="0.2">
      <c r="A470" s="494" t="s">
        <v>2005</v>
      </c>
      <c r="B470" s="496" t="s">
        <v>40</v>
      </c>
      <c r="C470" s="496" t="s">
        <v>2106</v>
      </c>
      <c r="D470" s="496" t="s">
        <v>1609</v>
      </c>
      <c r="E470" s="496">
        <f>'MCS Budget - Detailed'!N584</f>
        <v>3294</v>
      </c>
    </row>
    <row r="471" spans="1:5" x14ac:dyDescent="0.2">
      <c r="A471" s="496" t="s">
        <v>2005</v>
      </c>
      <c r="B471" s="496" t="s">
        <v>40</v>
      </c>
      <c r="C471" s="496" t="s">
        <v>1832</v>
      </c>
      <c r="D471" s="496" t="s">
        <v>1609</v>
      </c>
      <c r="E471" s="496">
        <f>'MCS Budget - Detailed'!N587</f>
        <v>4500</v>
      </c>
    </row>
    <row r="472" spans="1:5" x14ac:dyDescent="0.2">
      <c r="A472" s="494" t="s">
        <v>2005</v>
      </c>
      <c r="B472" s="496" t="s">
        <v>40</v>
      </c>
      <c r="C472" s="496" t="s">
        <v>1833</v>
      </c>
      <c r="D472" s="496" t="s">
        <v>1609</v>
      </c>
      <c r="E472" s="496">
        <f>'MCS Budget - Detailed'!N589</f>
        <v>34328</v>
      </c>
    </row>
    <row r="473" spans="1:5" x14ac:dyDescent="0.2">
      <c r="A473" s="496" t="s">
        <v>2005</v>
      </c>
      <c r="B473" s="496" t="s">
        <v>40</v>
      </c>
      <c r="C473" s="496" t="s">
        <v>1834</v>
      </c>
      <c r="D473" s="496" t="s">
        <v>1609</v>
      </c>
      <c r="E473" s="496">
        <f>'MCS Budget - Detailed'!N590</f>
        <v>20000</v>
      </c>
    </row>
    <row r="474" spans="1:5" x14ac:dyDescent="0.2">
      <c r="A474" s="494" t="s">
        <v>2005</v>
      </c>
      <c r="B474" s="496" t="s">
        <v>40</v>
      </c>
      <c r="C474" s="496" t="s">
        <v>1835</v>
      </c>
      <c r="D474" s="496" t="s">
        <v>1609</v>
      </c>
      <c r="E474" s="496">
        <f>'MCS Budget - Detailed'!N591</f>
        <v>900</v>
      </c>
    </row>
    <row r="475" spans="1:5" x14ac:dyDescent="0.2">
      <c r="A475" s="494" t="s">
        <v>2005</v>
      </c>
      <c r="B475" s="496" t="s">
        <v>40</v>
      </c>
      <c r="C475" s="496" t="s">
        <v>2642</v>
      </c>
      <c r="D475" s="496" t="s">
        <v>1609</v>
      </c>
      <c r="E475" s="496">
        <f>'MCS Budget - Detailed'!N592</f>
        <v>900</v>
      </c>
    </row>
    <row r="476" spans="1:5" x14ac:dyDescent="0.2">
      <c r="A476" s="494" t="s">
        <v>2005</v>
      </c>
      <c r="B476" s="496" t="s">
        <v>40</v>
      </c>
      <c r="C476" s="496" t="s">
        <v>2107</v>
      </c>
      <c r="D476" s="496" t="s">
        <v>1609</v>
      </c>
      <c r="E476" s="496">
        <f>'MCS Budget - Detailed'!N593</f>
        <v>4500</v>
      </c>
    </row>
    <row r="477" spans="1:5" x14ac:dyDescent="0.2">
      <c r="A477" s="496" t="s">
        <v>2005</v>
      </c>
      <c r="B477" s="496" t="s">
        <v>40</v>
      </c>
      <c r="C477" s="496" t="s">
        <v>1836</v>
      </c>
      <c r="D477" s="496" t="s">
        <v>1609</v>
      </c>
      <c r="E477" s="496">
        <f>'MCS Budget - Detailed'!N594</f>
        <v>66</v>
      </c>
    </row>
    <row r="478" spans="1:5" x14ac:dyDescent="0.2">
      <c r="A478" s="494" t="s">
        <v>2005</v>
      </c>
      <c r="B478" s="496" t="s">
        <v>40</v>
      </c>
      <c r="C478" s="496" t="s">
        <v>1837</v>
      </c>
      <c r="D478" s="496" t="s">
        <v>1609</v>
      </c>
      <c r="E478" s="496">
        <f>'MCS Budget - Detailed'!N595</f>
        <v>66</v>
      </c>
    </row>
    <row r="479" spans="1:5" x14ac:dyDescent="0.2">
      <c r="A479" s="496" t="s">
        <v>2005</v>
      </c>
      <c r="B479" s="496" t="s">
        <v>40</v>
      </c>
      <c r="C479" s="496" t="s">
        <v>1838</v>
      </c>
      <c r="D479" s="496" t="s">
        <v>1609</v>
      </c>
      <c r="E479" s="496">
        <f>'MCS Budget - Detailed'!N596</f>
        <v>120</v>
      </c>
    </row>
    <row r="480" spans="1:5" x14ac:dyDescent="0.2">
      <c r="A480" s="494" t="s">
        <v>2005</v>
      </c>
      <c r="B480" s="496" t="s">
        <v>40</v>
      </c>
      <c r="C480" s="496" t="s">
        <v>1839</v>
      </c>
      <c r="D480" s="496" t="s">
        <v>1609</v>
      </c>
      <c r="E480" s="496">
        <f>'MCS Budget - Detailed'!N597</f>
        <v>63</v>
      </c>
    </row>
    <row r="481" spans="1:5" x14ac:dyDescent="0.2">
      <c r="A481" s="496" t="s">
        <v>2005</v>
      </c>
      <c r="B481" s="496" t="s">
        <v>40</v>
      </c>
      <c r="C481" s="496" t="s">
        <v>1840</v>
      </c>
      <c r="D481" s="496" t="s">
        <v>1609</v>
      </c>
      <c r="E481" s="496">
        <f>'MCS Budget - Detailed'!N598</f>
        <v>576</v>
      </c>
    </row>
    <row r="482" spans="1:5" x14ac:dyDescent="0.2">
      <c r="A482" s="494" t="s">
        <v>2005</v>
      </c>
      <c r="B482" s="496" t="s">
        <v>40</v>
      </c>
      <c r="C482" s="496" t="s">
        <v>1841</v>
      </c>
      <c r="D482" s="496" t="s">
        <v>1609</v>
      </c>
      <c r="E482" s="496">
        <f>'MCS Budget - Detailed'!N599</f>
        <v>304</v>
      </c>
    </row>
    <row r="483" spans="1:5" x14ac:dyDescent="0.2">
      <c r="A483" s="496" t="s">
        <v>2005</v>
      </c>
      <c r="B483" s="496" t="s">
        <v>40</v>
      </c>
      <c r="C483" s="496" t="s">
        <v>1842</v>
      </c>
      <c r="D483" s="496" t="s">
        <v>1609</v>
      </c>
      <c r="E483" s="496">
        <f>'MCS Budget - Detailed'!N600</f>
        <v>7860</v>
      </c>
    </row>
    <row r="484" spans="1:5" x14ac:dyDescent="0.2">
      <c r="A484" s="494" t="s">
        <v>2005</v>
      </c>
      <c r="B484" s="496" t="s">
        <v>40</v>
      </c>
      <c r="C484" s="496" t="s">
        <v>1843</v>
      </c>
      <c r="D484" s="496" t="s">
        <v>1609</v>
      </c>
      <c r="E484" s="496">
        <f>'MCS Budget - Detailed'!N601</f>
        <v>4264</v>
      </c>
    </row>
    <row r="485" spans="1:5" x14ac:dyDescent="0.2">
      <c r="A485" s="496" t="s">
        <v>2005</v>
      </c>
      <c r="B485" s="496" t="s">
        <v>40</v>
      </c>
      <c r="C485" s="496" t="s">
        <v>1844</v>
      </c>
      <c r="D485" s="496" t="s">
        <v>1609</v>
      </c>
      <c r="E485" s="496">
        <f>'MCS Budget - Detailed'!N602</f>
        <v>6169</v>
      </c>
    </row>
    <row r="486" spans="1:5" x14ac:dyDescent="0.2">
      <c r="A486" s="494" t="s">
        <v>2005</v>
      </c>
      <c r="B486" s="496" t="s">
        <v>40</v>
      </c>
      <c r="C486" s="496" t="s">
        <v>1845</v>
      </c>
      <c r="D486" s="496" t="s">
        <v>1609</v>
      </c>
      <c r="E486" s="496">
        <f>'MCS Budget - Detailed'!N603</f>
        <v>37</v>
      </c>
    </row>
    <row r="487" spans="1:5" x14ac:dyDescent="0.2">
      <c r="A487" s="496" t="s">
        <v>2005</v>
      </c>
      <c r="B487" s="496" t="s">
        <v>40</v>
      </c>
      <c r="C487" s="496" t="s">
        <v>2643</v>
      </c>
      <c r="D487" s="496" t="s">
        <v>1609</v>
      </c>
      <c r="E487" s="496">
        <f>'MCS Budget - Detailed'!N604</f>
        <v>1165</v>
      </c>
    </row>
    <row r="488" spans="1:5" x14ac:dyDescent="0.2">
      <c r="A488" s="494" t="s">
        <v>2005</v>
      </c>
      <c r="B488" s="496" t="s">
        <v>40</v>
      </c>
      <c r="C488" s="496" t="s">
        <v>2644</v>
      </c>
      <c r="D488" s="496" t="s">
        <v>1609</v>
      </c>
      <c r="E488" s="496">
        <f>'MCS Budget - Detailed'!N605</f>
        <v>600</v>
      </c>
    </row>
    <row r="489" spans="1:5" x14ac:dyDescent="0.2">
      <c r="A489" s="496" t="s">
        <v>2005</v>
      </c>
      <c r="B489" s="496" t="s">
        <v>40</v>
      </c>
      <c r="C489" s="496" t="s">
        <v>2108</v>
      </c>
      <c r="D489" s="496" t="s">
        <v>1609</v>
      </c>
      <c r="E489" s="496">
        <f>'MCS Budget - Detailed'!N606</f>
        <v>1000</v>
      </c>
    </row>
    <row r="490" spans="1:5" x14ac:dyDescent="0.2">
      <c r="A490" s="496" t="s">
        <v>2005</v>
      </c>
      <c r="B490" s="496" t="s">
        <v>40</v>
      </c>
      <c r="C490" s="496" t="s">
        <v>1846</v>
      </c>
      <c r="D490" s="496" t="s">
        <v>1609</v>
      </c>
      <c r="E490" s="496">
        <f>'MCS Budget - Detailed'!N607</f>
        <v>700</v>
      </c>
    </row>
    <row r="491" spans="1:5" x14ac:dyDescent="0.2">
      <c r="A491" s="494" t="s">
        <v>2005</v>
      </c>
      <c r="B491" s="496" t="s">
        <v>40</v>
      </c>
      <c r="C491" s="496" t="s">
        <v>1847</v>
      </c>
      <c r="D491" s="496" t="s">
        <v>1609</v>
      </c>
      <c r="E491" s="496">
        <f>'MCS Budget - Detailed'!N608</f>
        <v>20598</v>
      </c>
    </row>
    <row r="492" spans="1:5" x14ac:dyDescent="0.2">
      <c r="A492" s="496" t="s">
        <v>2005</v>
      </c>
      <c r="B492" s="496" t="s">
        <v>40</v>
      </c>
      <c r="C492" s="496" t="s">
        <v>1848</v>
      </c>
      <c r="D492" s="496" t="s">
        <v>1609</v>
      </c>
      <c r="E492" s="496">
        <f>'MCS Budget - Detailed'!N609</f>
        <v>1000</v>
      </c>
    </row>
    <row r="493" spans="1:5" x14ac:dyDescent="0.2">
      <c r="A493" s="494" t="s">
        <v>2005</v>
      </c>
      <c r="B493" s="496" t="s">
        <v>40</v>
      </c>
      <c r="C493" s="496" t="s">
        <v>1849</v>
      </c>
      <c r="D493" s="496" t="s">
        <v>1609</v>
      </c>
      <c r="E493" s="496">
        <f>'MCS Budget - Detailed'!N611</f>
        <v>47773</v>
      </c>
    </row>
    <row r="494" spans="1:5" x14ac:dyDescent="0.2">
      <c r="A494" s="496" t="s">
        <v>2005</v>
      </c>
      <c r="B494" s="496" t="s">
        <v>40</v>
      </c>
      <c r="C494" s="496" t="s">
        <v>1850</v>
      </c>
      <c r="D494" s="496" t="s">
        <v>1609</v>
      </c>
      <c r="E494" s="496">
        <f>'MCS Budget - Detailed'!N613</f>
        <v>66</v>
      </c>
    </row>
    <row r="495" spans="1:5" x14ac:dyDescent="0.2">
      <c r="A495" s="494" t="s">
        <v>2005</v>
      </c>
      <c r="B495" s="496" t="s">
        <v>40</v>
      </c>
      <c r="C495" s="496" t="s">
        <v>1851</v>
      </c>
      <c r="D495" s="496" t="s">
        <v>1609</v>
      </c>
      <c r="E495" s="496">
        <f>'MCS Budget - Detailed'!N614</f>
        <v>144</v>
      </c>
    </row>
    <row r="496" spans="1:5" x14ac:dyDescent="0.2">
      <c r="A496" s="496" t="s">
        <v>2005</v>
      </c>
      <c r="B496" s="496" t="s">
        <v>40</v>
      </c>
      <c r="C496" s="496" t="s">
        <v>1852</v>
      </c>
      <c r="D496" s="496" t="s">
        <v>1609</v>
      </c>
      <c r="E496" s="496">
        <f>'MCS Budget - Detailed'!N616</f>
        <v>693</v>
      </c>
    </row>
    <row r="497" spans="1:5" x14ac:dyDescent="0.2">
      <c r="A497" s="494" t="s">
        <v>2005</v>
      </c>
      <c r="B497" s="496" t="s">
        <v>40</v>
      </c>
      <c r="C497" s="496" t="s">
        <v>1853</v>
      </c>
      <c r="D497" s="496" t="s">
        <v>1609</v>
      </c>
      <c r="E497" s="496">
        <f>'MCS Budget - Detailed'!N618</f>
        <v>9746</v>
      </c>
    </row>
    <row r="498" spans="1:5" x14ac:dyDescent="0.2">
      <c r="A498" s="496" t="s">
        <v>2005</v>
      </c>
      <c r="B498" s="496" t="s">
        <v>40</v>
      </c>
      <c r="C498" s="496" t="s">
        <v>1854</v>
      </c>
      <c r="D498" s="496" t="s">
        <v>1609</v>
      </c>
      <c r="E498" s="496">
        <f>'MCS Budget - Detailed'!N619</f>
        <v>6169</v>
      </c>
    </row>
    <row r="499" spans="1:5" x14ac:dyDescent="0.2">
      <c r="A499" s="496" t="s">
        <v>2005</v>
      </c>
      <c r="B499" s="496" t="s">
        <v>40</v>
      </c>
      <c r="C499" s="496" t="s">
        <v>2645</v>
      </c>
      <c r="D499" s="496" t="s">
        <v>1609</v>
      </c>
      <c r="E499" s="496">
        <f>'MCS Budget - Detailed'!N620</f>
        <v>1433</v>
      </c>
    </row>
    <row r="500" spans="1:5" x14ac:dyDescent="0.2">
      <c r="A500" s="494" t="s">
        <v>2005</v>
      </c>
      <c r="B500" s="496" t="s">
        <v>40</v>
      </c>
      <c r="C500" s="496" t="s">
        <v>2267</v>
      </c>
      <c r="D500" s="496" t="s">
        <v>1609</v>
      </c>
      <c r="E500" s="496">
        <f>'MCS Budget - Detailed'!N621</f>
        <v>600</v>
      </c>
    </row>
    <row r="501" spans="1:5" x14ac:dyDescent="0.2">
      <c r="A501" s="496" t="s">
        <v>2005</v>
      </c>
      <c r="B501" s="496" t="s">
        <v>40</v>
      </c>
      <c r="C501" s="496" t="s">
        <v>1855</v>
      </c>
      <c r="D501" s="496" t="s">
        <v>1609</v>
      </c>
      <c r="E501" s="496">
        <f>'MCS Budget - Detailed'!N622</f>
        <v>1500</v>
      </c>
    </row>
    <row r="502" spans="1:5" x14ac:dyDescent="0.2">
      <c r="A502" s="494" t="s">
        <v>2005</v>
      </c>
      <c r="B502" s="496" t="s">
        <v>40</v>
      </c>
      <c r="C502" s="496" t="s">
        <v>2109</v>
      </c>
      <c r="D502" s="496" t="s">
        <v>1609</v>
      </c>
      <c r="E502" s="496">
        <f>'MCS Budget - Detailed'!N624</f>
        <v>900</v>
      </c>
    </row>
    <row r="503" spans="1:5" x14ac:dyDescent="0.2">
      <c r="A503" s="494" t="s">
        <v>2005</v>
      </c>
      <c r="B503" s="496" t="s">
        <v>40</v>
      </c>
      <c r="C503" s="496" t="s">
        <v>2110</v>
      </c>
      <c r="D503" s="496" t="s">
        <v>1609</v>
      </c>
      <c r="E503" s="496">
        <f>'MCS Budget - Detailed'!N626</f>
        <v>11000</v>
      </c>
    </row>
    <row r="504" spans="1:5" x14ac:dyDescent="0.2">
      <c r="A504" s="494" t="s">
        <v>2005</v>
      </c>
      <c r="B504" s="496" t="s">
        <v>40</v>
      </c>
      <c r="C504" s="496" t="s">
        <v>2111</v>
      </c>
      <c r="D504" s="496" t="s">
        <v>1609</v>
      </c>
      <c r="E504" s="496">
        <f>'MCS Budget - Detailed'!N627</f>
        <v>33</v>
      </c>
    </row>
    <row r="505" spans="1:5" x14ac:dyDescent="0.2">
      <c r="A505" s="494" t="s">
        <v>2005</v>
      </c>
      <c r="B505" s="496" t="s">
        <v>40</v>
      </c>
      <c r="C505" s="496" t="s">
        <v>2112</v>
      </c>
      <c r="D505" s="496" t="s">
        <v>1609</v>
      </c>
      <c r="E505" s="496">
        <f>'MCS Budget - Detailed'!N628</f>
        <v>160</v>
      </c>
    </row>
    <row r="506" spans="1:5" x14ac:dyDescent="0.2">
      <c r="A506" s="494" t="s">
        <v>2005</v>
      </c>
      <c r="B506" s="496" t="s">
        <v>40</v>
      </c>
      <c r="C506" s="496" t="s">
        <v>2113</v>
      </c>
      <c r="D506" s="496" t="s">
        <v>1609</v>
      </c>
      <c r="E506" s="496">
        <f>'MCS Budget - Detailed'!N629</f>
        <v>2244</v>
      </c>
    </row>
    <row r="507" spans="1:5" x14ac:dyDescent="0.2">
      <c r="A507" s="494" t="s">
        <v>2005</v>
      </c>
      <c r="B507" s="496" t="s">
        <v>40</v>
      </c>
      <c r="C507" s="496" t="s">
        <v>2646</v>
      </c>
      <c r="D507" s="496" t="s">
        <v>1609</v>
      </c>
      <c r="E507" s="496">
        <f>'MCS Budget - Detailed'!N630</f>
        <v>330</v>
      </c>
    </row>
    <row r="508" spans="1:5" x14ac:dyDescent="0.2">
      <c r="A508" s="494" t="s">
        <v>2005</v>
      </c>
      <c r="B508" s="496" t="s">
        <v>40</v>
      </c>
      <c r="C508" s="496" t="s">
        <v>1856</v>
      </c>
      <c r="D508" s="496" t="s">
        <v>1609</v>
      </c>
      <c r="E508" s="496">
        <f>'MCS Budget - Detailed'!N631</f>
        <v>2000</v>
      </c>
    </row>
    <row r="509" spans="1:5" x14ac:dyDescent="0.2">
      <c r="A509" s="494" t="s">
        <v>2005</v>
      </c>
      <c r="B509" s="496" t="s">
        <v>40</v>
      </c>
      <c r="C509" s="496" t="s">
        <v>1857</v>
      </c>
      <c r="D509" s="496" t="s">
        <v>1609</v>
      </c>
      <c r="E509" s="496">
        <f>'MCS Budget - Detailed'!N634</f>
        <v>500</v>
      </c>
    </row>
    <row r="510" spans="1:5" x14ac:dyDescent="0.2">
      <c r="A510" s="494" t="s">
        <v>2005</v>
      </c>
      <c r="B510" s="496" t="s">
        <v>40</v>
      </c>
      <c r="C510" s="496" t="s">
        <v>1858</v>
      </c>
      <c r="D510" s="496" t="s">
        <v>1609</v>
      </c>
      <c r="E510" s="496">
        <f>'MCS Budget - Detailed'!N635</f>
        <v>800</v>
      </c>
    </row>
    <row r="511" spans="1:5" x14ac:dyDescent="0.2">
      <c r="A511" s="496" t="s">
        <v>2005</v>
      </c>
      <c r="B511" s="496" t="s">
        <v>40</v>
      </c>
      <c r="C511" s="496" t="s">
        <v>2460</v>
      </c>
      <c r="D511" s="496" t="s">
        <v>1609</v>
      </c>
      <c r="E511" s="496">
        <f>'MCS Budget - Detailed'!N637</f>
        <v>23473</v>
      </c>
    </row>
    <row r="512" spans="1:5" x14ac:dyDescent="0.2">
      <c r="A512" s="496" t="s">
        <v>2005</v>
      </c>
      <c r="B512" s="496" t="s">
        <v>40</v>
      </c>
      <c r="C512" s="496" t="s">
        <v>2647</v>
      </c>
      <c r="D512" s="496" t="s">
        <v>1609</v>
      </c>
      <c r="E512" s="496">
        <f>'MCS Budget - Detailed'!N638</f>
        <v>256</v>
      </c>
    </row>
    <row r="513" spans="1:5" x14ac:dyDescent="0.2">
      <c r="A513" s="494" t="s">
        <v>2005</v>
      </c>
      <c r="B513" s="496" t="s">
        <v>40</v>
      </c>
      <c r="C513" s="496" t="s">
        <v>1859</v>
      </c>
      <c r="D513" s="496" t="s">
        <v>1609</v>
      </c>
      <c r="E513" s="496">
        <f>'MCS Budget - Detailed'!N639</f>
        <v>66</v>
      </c>
    </row>
    <row r="514" spans="1:5" x14ac:dyDescent="0.2">
      <c r="A514" s="496" t="s">
        <v>2005</v>
      </c>
      <c r="B514" s="496" t="s">
        <v>40</v>
      </c>
      <c r="C514" s="496" t="s">
        <v>1860</v>
      </c>
      <c r="D514" s="496" t="s">
        <v>1609</v>
      </c>
      <c r="E514" s="496">
        <f>'MCS Budget - Detailed'!N640</f>
        <v>72</v>
      </c>
    </row>
    <row r="515" spans="1:5" x14ac:dyDescent="0.2">
      <c r="A515" s="494" t="s">
        <v>2005</v>
      </c>
      <c r="B515" s="496" t="s">
        <v>40</v>
      </c>
      <c r="C515" s="496" t="s">
        <v>1861</v>
      </c>
      <c r="D515" s="496" t="s">
        <v>1609</v>
      </c>
      <c r="E515" s="496">
        <f>'MCS Budget - Detailed'!N641</f>
        <v>344</v>
      </c>
    </row>
    <row r="516" spans="1:5" x14ac:dyDescent="0.2">
      <c r="A516" s="496" t="s">
        <v>2005</v>
      </c>
      <c r="B516" s="496" t="s">
        <v>40</v>
      </c>
      <c r="C516" s="496" t="s">
        <v>1862</v>
      </c>
      <c r="D516" s="496" t="s">
        <v>1609</v>
      </c>
      <c r="E516" s="496">
        <f>'MCS Budget - Detailed'!N642</f>
        <v>4789</v>
      </c>
    </row>
    <row r="517" spans="1:5" x14ac:dyDescent="0.2">
      <c r="A517" s="494" t="s">
        <v>2005</v>
      </c>
      <c r="B517" s="496" t="s">
        <v>40</v>
      </c>
      <c r="C517" s="496" t="s">
        <v>1863</v>
      </c>
      <c r="D517" s="496" t="s">
        <v>1609</v>
      </c>
      <c r="E517" s="496">
        <f>'MCS Budget - Detailed'!N643</f>
        <v>6169</v>
      </c>
    </row>
    <row r="518" spans="1:5" x14ac:dyDescent="0.2">
      <c r="A518" s="494" t="s">
        <v>2005</v>
      </c>
      <c r="B518" s="496" t="s">
        <v>40</v>
      </c>
      <c r="C518" s="496" t="s">
        <v>2648</v>
      </c>
      <c r="D518" s="496" t="s">
        <v>1609</v>
      </c>
      <c r="E518" s="496">
        <f>'MCS Budget - Detailed'!N644</f>
        <v>704</v>
      </c>
    </row>
    <row r="519" spans="1:5" x14ac:dyDescent="0.2">
      <c r="A519" s="496" t="s">
        <v>2005</v>
      </c>
      <c r="B519" s="496" t="s">
        <v>40</v>
      </c>
      <c r="C519" s="496" t="s">
        <v>1864</v>
      </c>
      <c r="D519" s="496" t="s">
        <v>1609</v>
      </c>
      <c r="E519" s="496">
        <f>'MCS Budget - Detailed'!N645</f>
        <v>3000</v>
      </c>
    </row>
    <row r="520" spans="1:5" x14ac:dyDescent="0.2">
      <c r="A520" s="494" t="s">
        <v>2005</v>
      </c>
      <c r="B520" s="496" t="s">
        <v>40</v>
      </c>
      <c r="C520" s="496" t="s">
        <v>1865</v>
      </c>
      <c r="D520" s="496" t="s">
        <v>1609</v>
      </c>
      <c r="E520" s="496">
        <f>'MCS Budget - Detailed'!N646</f>
        <v>400</v>
      </c>
    </row>
    <row r="521" spans="1:5" x14ac:dyDescent="0.2">
      <c r="A521" s="496" t="s">
        <v>2005</v>
      </c>
      <c r="B521" s="496" t="s">
        <v>40</v>
      </c>
      <c r="C521" s="496" t="s">
        <v>1866</v>
      </c>
      <c r="D521" s="496" t="s">
        <v>1609</v>
      </c>
      <c r="E521" s="496">
        <f>'MCS Budget - Detailed'!N647</f>
        <v>800</v>
      </c>
    </row>
    <row r="522" spans="1:5" x14ac:dyDescent="0.2">
      <c r="A522" s="494" t="s">
        <v>2005</v>
      </c>
      <c r="B522" s="496" t="s">
        <v>40</v>
      </c>
      <c r="C522" s="496" t="s">
        <v>1867</v>
      </c>
      <c r="D522" s="496" t="s">
        <v>1609</v>
      </c>
      <c r="E522" s="496">
        <f>'MCS Budget - Detailed'!N648</f>
        <v>1708</v>
      </c>
    </row>
    <row r="523" spans="1:5" x14ac:dyDescent="0.2">
      <c r="A523" s="496" t="s">
        <v>2005</v>
      </c>
      <c r="B523" s="496" t="s">
        <v>40</v>
      </c>
      <c r="C523" s="496" t="s">
        <v>1868</v>
      </c>
      <c r="D523" s="496" t="s">
        <v>1609</v>
      </c>
      <c r="E523" s="496">
        <f>'MCS Budget - Detailed'!N649</f>
        <v>4500</v>
      </c>
    </row>
    <row r="524" spans="1:5" x14ac:dyDescent="0.2">
      <c r="A524" s="494" t="s">
        <v>2005</v>
      </c>
      <c r="B524" s="496" t="s">
        <v>40</v>
      </c>
      <c r="C524" s="496" t="s">
        <v>1869</v>
      </c>
      <c r="D524" s="496" t="s">
        <v>1609</v>
      </c>
      <c r="E524" s="496">
        <f>'MCS Budget - Detailed'!N650</f>
        <v>850</v>
      </c>
    </row>
    <row r="525" spans="1:5" x14ac:dyDescent="0.2">
      <c r="A525" s="496" t="s">
        <v>2005</v>
      </c>
      <c r="B525" s="496" t="s">
        <v>40</v>
      </c>
      <c r="C525" s="496" t="s">
        <v>1870</v>
      </c>
      <c r="D525" s="496" t="s">
        <v>1609</v>
      </c>
      <c r="E525" s="496">
        <f>'MCS Budget - Detailed'!N651</f>
        <v>600</v>
      </c>
    </row>
    <row r="526" spans="1:5" x14ac:dyDescent="0.2">
      <c r="A526" s="494" t="s">
        <v>2005</v>
      </c>
      <c r="B526" s="496" t="s">
        <v>40</v>
      </c>
      <c r="C526" s="496" t="s">
        <v>2114</v>
      </c>
      <c r="D526" s="496" t="s">
        <v>1609</v>
      </c>
      <c r="E526" s="496">
        <f>'MCS Budget - Detailed'!N654</f>
        <v>1800</v>
      </c>
    </row>
    <row r="527" spans="1:5" x14ac:dyDescent="0.2">
      <c r="A527" s="494" t="s">
        <v>2005</v>
      </c>
      <c r="B527" s="496" t="s">
        <v>40</v>
      </c>
      <c r="C527" s="496" t="s">
        <v>2115</v>
      </c>
      <c r="D527" s="496" t="s">
        <v>1609</v>
      </c>
      <c r="E527" s="496">
        <f>'MCS Budget - Detailed'!N655</f>
        <v>6</v>
      </c>
    </row>
    <row r="528" spans="1:5" x14ac:dyDescent="0.2">
      <c r="A528" s="494" t="s">
        <v>2005</v>
      </c>
      <c r="B528" s="496" t="s">
        <v>40</v>
      </c>
      <c r="C528" s="496" t="s">
        <v>2116</v>
      </c>
      <c r="D528" s="496" t="s">
        <v>1609</v>
      </c>
      <c r="E528" s="496">
        <f>'MCS Budget - Detailed'!N656</f>
        <v>27</v>
      </c>
    </row>
    <row r="529" spans="1:5" x14ac:dyDescent="0.2">
      <c r="A529" s="494" t="s">
        <v>2005</v>
      </c>
      <c r="B529" s="496" t="s">
        <v>40</v>
      </c>
      <c r="C529" s="496" t="s">
        <v>2117</v>
      </c>
      <c r="D529" s="496" t="s">
        <v>1609</v>
      </c>
      <c r="E529" s="496">
        <f>'MCS Budget - Detailed'!N657</f>
        <v>368</v>
      </c>
    </row>
    <row r="530" spans="1:5" x14ac:dyDescent="0.2">
      <c r="A530" s="494" t="s">
        <v>2005</v>
      </c>
      <c r="B530" s="496" t="s">
        <v>40</v>
      </c>
      <c r="C530" s="496" t="s">
        <v>2118</v>
      </c>
      <c r="D530" s="496" t="s">
        <v>1609</v>
      </c>
      <c r="E530" s="496">
        <f>'MCS Budget - Detailed'!N658</f>
        <v>4000</v>
      </c>
    </row>
    <row r="531" spans="1:5" x14ac:dyDescent="0.2">
      <c r="A531" s="494" t="s">
        <v>2005</v>
      </c>
      <c r="B531" s="496" t="s">
        <v>40</v>
      </c>
      <c r="C531" s="496" t="s">
        <v>1871</v>
      </c>
      <c r="D531" s="496" t="s">
        <v>1609</v>
      </c>
      <c r="E531" s="496">
        <f>'MCS Budget - Detailed'!N659</f>
        <v>11188</v>
      </c>
    </row>
    <row r="532" spans="1:5" x14ac:dyDescent="0.2">
      <c r="A532" s="496" t="s">
        <v>2005</v>
      </c>
      <c r="B532" s="496" t="s">
        <v>40</v>
      </c>
      <c r="C532" s="496" t="s">
        <v>2649</v>
      </c>
      <c r="D532" s="496" t="s">
        <v>1609</v>
      </c>
      <c r="E532" s="496">
        <f>'MCS Budget - Detailed'!N660</f>
        <v>6000</v>
      </c>
    </row>
    <row r="533" spans="1:5" x14ac:dyDescent="0.2">
      <c r="A533" s="496" t="s">
        <v>2005</v>
      </c>
      <c r="B533" s="496" t="s">
        <v>40</v>
      </c>
      <c r="C533" s="496" t="s">
        <v>1872</v>
      </c>
      <c r="D533" s="496" t="s">
        <v>1609</v>
      </c>
      <c r="E533" s="496">
        <f>'MCS Budget - Detailed'!N661</f>
        <v>1000</v>
      </c>
    </row>
    <row r="534" spans="1:5" x14ac:dyDescent="0.2">
      <c r="A534" s="494" t="s">
        <v>2005</v>
      </c>
      <c r="B534" s="496" t="s">
        <v>40</v>
      </c>
      <c r="C534" s="496" t="s">
        <v>1873</v>
      </c>
      <c r="D534" s="496" t="s">
        <v>1609</v>
      </c>
      <c r="E534" s="496">
        <f>'MCS Budget - Detailed'!N662</f>
        <v>16000</v>
      </c>
    </row>
    <row r="535" spans="1:5" x14ac:dyDescent="0.2">
      <c r="A535" s="496" t="s">
        <v>2005</v>
      </c>
      <c r="B535" s="496" t="s">
        <v>40</v>
      </c>
      <c r="C535" s="496" t="s">
        <v>1874</v>
      </c>
      <c r="D535" s="496" t="s">
        <v>1609</v>
      </c>
      <c r="E535" s="496">
        <f>'MCS Budget - Detailed'!N663</f>
        <v>2360</v>
      </c>
    </row>
    <row r="536" spans="1:5" x14ac:dyDescent="0.2">
      <c r="A536" s="494" t="s">
        <v>2005</v>
      </c>
      <c r="B536" s="496" t="s">
        <v>40</v>
      </c>
      <c r="C536" s="496" t="s">
        <v>1875</v>
      </c>
      <c r="D536" s="496" t="s">
        <v>1609</v>
      </c>
      <c r="E536" s="496">
        <f>'MCS Budget - Detailed'!N664</f>
        <v>0</v>
      </c>
    </row>
    <row r="537" spans="1:5" x14ac:dyDescent="0.2">
      <c r="A537" s="496" t="s">
        <v>2005</v>
      </c>
      <c r="B537" s="496" t="s">
        <v>40</v>
      </c>
      <c r="C537" s="496" t="s">
        <v>1876</v>
      </c>
      <c r="D537" s="496" t="s">
        <v>1609</v>
      </c>
      <c r="E537" s="496">
        <f>'MCS Budget - Detailed'!N666</f>
        <v>10950</v>
      </c>
    </row>
    <row r="538" spans="1:5" x14ac:dyDescent="0.2">
      <c r="A538" s="494" t="s">
        <v>2005</v>
      </c>
      <c r="B538" s="496" t="s">
        <v>40</v>
      </c>
      <c r="C538" s="496" t="s">
        <v>1877</v>
      </c>
      <c r="D538" s="496" t="s">
        <v>1609</v>
      </c>
      <c r="E538" s="496">
        <f>'MCS Budget - Detailed'!N668</f>
        <v>10600</v>
      </c>
    </row>
    <row r="539" spans="1:5" x14ac:dyDescent="0.2">
      <c r="A539" s="496" t="s">
        <v>2005</v>
      </c>
      <c r="B539" s="496" t="s">
        <v>40</v>
      </c>
      <c r="C539" s="496" t="s">
        <v>1878</v>
      </c>
      <c r="D539" s="496" t="s">
        <v>1609</v>
      </c>
      <c r="E539" s="496">
        <f>'MCS Budget - Detailed'!N670</f>
        <v>80314</v>
      </c>
    </row>
    <row r="540" spans="1:5" x14ac:dyDescent="0.2">
      <c r="A540" s="496" t="s">
        <v>2005</v>
      </c>
      <c r="B540" s="496" t="s">
        <v>40</v>
      </c>
      <c r="C540" s="496" t="s">
        <v>2697</v>
      </c>
      <c r="D540" s="496" t="s">
        <v>1609</v>
      </c>
      <c r="E540" s="496">
        <f>'MCS Budget - Detailed'!N671</f>
        <v>3000</v>
      </c>
    </row>
    <row r="541" spans="1:5" x14ac:dyDescent="0.2">
      <c r="A541" s="494" t="s">
        <v>2005</v>
      </c>
      <c r="B541" s="496" t="s">
        <v>40</v>
      </c>
      <c r="C541" s="496" t="s">
        <v>1879</v>
      </c>
      <c r="D541" s="496" t="s">
        <v>1609</v>
      </c>
      <c r="E541" s="496">
        <f>'MCS Budget - Detailed'!N672</f>
        <v>66</v>
      </c>
    </row>
    <row r="542" spans="1:5" x14ac:dyDescent="0.2">
      <c r="A542" s="496" t="s">
        <v>2005</v>
      </c>
      <c r="B542" s="496" t="s">
        <v>40</v>
      </c>
      <c r="C542" s="496" t="s">
        <v>1880</v>
      </c>
      <c r="D542" s="496" t="s">
        <v>1609</v>
      </c>
      <c r="E542" s="496">
        <f>'MCS Budget - Detailed'!N673</f>
        <v>264</v>
      </c>
    </row>
    <row r="543" spans="1:5" x14ac:dyDescent="0.2">
      <c r="A543" s="494" t="s">
        <v>2005</v>
      </c>
      <c r="B543" s="496" t="s">
        <v>40</v>
      </c>
      <c r="C543" s="496" t="s">
        <v>1881</v>
      </c>
      <c r="D543" s="496" t="s">
        <v>1609</v>
      </c>
      <c r="E543" s="496">
        <f>'MCS Budget - Detailed'!N674</f>
        <v>1272</v>
      </c>
    </row>
    <row r="544" spans="1:5" x14ac:dyDescent="0.2">
      <c r="A544" s="496" t="s">
        <v>2005</v>
      </c>
      <c r="B544" s="496" t="s">
        <v>40</v>
      </c>
      <c r="C544" s="496" t="s">
        <v>1882</v>
      </c>
      <c r="D544" s="496" t="s">
        <v>1609</v>
      </c>
      <c r="E544" s="496">
        <f>'MCS Budget - Detailed'!N675</f>
        <v>17891</v>
      </c>
    </row>
    <row r="545" spans="1:5" x14ac:dyDescent="0.2">
      <c r="A545" s="494" t="s">
        <v>2005</v>
      </c>
      <c r="B545" s="496" t="s">
        <v>40</v>
      </c>
      <c r="C545" s="496" t="s">
        <v>1883</v>
      </c>
      <c r="D545" s="496" t="s">
        <v>1609</v>
      </c>
      <c r="E545" s="496">
        <f>'MCS Budget - Detailed'!N676</f>
        <v>6169</v>
      </c>
    </row>
    <row r="546" spans="1:5" x14ac:dyDescent="0.2">
      <c r="A546" s="494" t="s">
        <v>2005</v>
      </c>
      <c r="B546" s="496" t="s">
        <v>40</v>
      </c>
      <c r="C546" s="496" t="s">
        <v>2650</v>
      </c>
      <c r="D546" s="496" t="s">
        <v>1609</v>
      </c>
      <c r="E546" s="496">
        <f>'MCS Budget - Detailed'!N677</f>
        <v>2409</v>
      </c>
    </row>
    <row r="547" spans="1:5" x14ac:dyDescent="0.2">
      <c r="A547" s="496" t="s">
        <v>2005</v>
      </c>
      <c r="B547" s="496" t="s">
        <v>40</v>
      </c>
      <c r="C547" s="496" t="s">
        <v>1884</v>
      </c>
      <c r="D547" s="496" t="s">
        <v>1609</v>
      </c>
      <c r="E547" s="496">
        <f>'MCS Budget - Detailed'!N678</f>
        <v>5400</v>
      </c>
    </row>
    <row r="548" spans="1:5" x14ac:dyDescent="0.2">
      <c r="A548" s="496" t="s">
        <v>2005</v>
      </c>
      <c r="B548" s="496" t="s">
        <v>40</v>
      </c>
      <c r="C548" s="496" t="s">
        <v>2651</v>
      </c>
      <c r="D548" s="496" t="s">
        <v>1609</v>
      </c>
      <c r="E548" s="496">
        <f>'MCS Budget - Detailed'!N679</f>
        <v>4600</v>
      </c>
    </row>
    <row r="549" spans="1:5" x14ac:dyDescent="0.2">
      <c r="A549" s="496" t="s">
        <v>2005</v>
      </c>
      <c r="B549" s="496" t="s">
        <v>40</v>
      </c>
      <c r="C549" s="496" t="s">
        <v>2652</v>
      </c>
      <c r="D549" s="496" t="s">
        <v>1609</v>
      </c>
      <c r="E549" s="496">
        <f>'MCS Budget - Detailed'!N680</f>
        <v>1500</v>
      </c>
    </row>
    <row r="550" spans="1:5" x14ac:dyDescent="0.2">
      <c r="A550" s="496" t="s">
        <v>2005</v>
      </c>
      <c r="B550" s="496" t="s">
        <v>40</v>
      </c>
      <c r="C550" s="496" t="s">
        <v>1885</v>
      </c>
      <c r="D550" s="496" t="s">
        <v>1609</v>
      </c>
      <c r="E550" s="496">
        <f>'MCS Budget - Detailed'!N681</f>
        <v>12000</v>
      </c>
    </row>
    <row r="551" spans="1:5" x14ac:dyDescent="0.2">
      <c r="A551" s="494" t="s">
        <v>2005</v>
      </c>
      <c r="B551" s="496" t="s">
        <v>40</v>
      </c>
      <c r="C551" s="496" t="s">
        <v>1886</v>
      </c>
      <c r="D551" s="496" t="s">
        <v>1609</v>
      </c>
      <c r="E551" s="496">
        <f>'MCS Budget - Detailed'!N682</f>
        <v>1000</v>
      </c>
    </row>
    <row r="552" spans="1:5" x14ac:dyDescent="0.2">
      <c r="A552" s="496" t="s">
        <v>2005</v>
      </c>
      <c r="B552" s="496" t="s">
        <v>40</v>
      </c>
      <c r="C552" s="496" t="s">
        <v>1887</v>
      </c>
      <c r="D552" s="496" t="s">
        <v>1609</v>
      </c>
      <c r="E552" s="496">
        <f>'MCS Budget - Detailed'!N683</f>
        <v>3000</v>
      </c>
    </row>
    <row r="553" spans="1:5" x14ac:dyDescent="0.2">
      <c r="A553" s="494" t="s">
        <v>2005</v>
      </c>
      <c r="B553" s="496" t="s">
        <v>40</v>
      </c>
      <c r="C553" s="496" t="s">
        <v>1888</v>
      </c>
      <c r="D553" s="496" t="s">
        <v>1609</v>
      </c>
      <c r="E553" s="496">
        <f>'MCS Budget - Detailed'!N685</f>
        <v>1200</v>
      </c>
    </row>
    <row r="554" spans="1:5" x14ac:dyDescent="0.2">
      <c r="A554" s="494" t="s">
        <v>2005</v>
      </c>
      <c r="B554" s="496" t="s">
        <v>40</v>
      </c>
      <c r="C554" s="496" t="s">
        <v>1889</v>
      </c>
      <c r="D554" s="496" t="s">
        <v>1609</v>
      </c>
      <c r="E554" s="496">
        <f>'MCS Budget - Detailed'!N687</f>
        <v>1000</v>
      </c>
    </row>
    <row r="555" spans="1:5" x14ac:dyDescent="0.2">
      <c r="A555" s="496" t="s">
        <v>2005</v>
      </c>
      <c r="B555" s="496" t="s">
        <v>40</v>
      </c>
      <c r="C555" s="496" t="s">
        <v>1890</v>
      </c>
      <c r="D555" s="496" t="s">
        <v>1609</v>
      </c>
      <c r="E555" s="496">
        <f>'MCS Budget - Detailed'!N688</f>
        <v>500</v>
      </c>
    </row>
    <row r="556" spans="1:5" x14ac:dyDescent="0.2">
      <c r="A556" s="496" t="s">
        <v>2005</v>
      </c>
      <c r="B556" s="496" t="s">
        <v>40</v>
      </c>
      <c r="C556" s="496" t="s">
        <v>2119</v>
      </c>
      <c r="D556" s="496" t="s">
        <v>1609</v>
      </c>
      <c r="E556" s="496">
        <f>'MCS Budget - Detailed'!N690</f>
        <v>4155</v>
      </c>
    </row>
    <row r="557" spans="1:5" x14ac:dyDescent="0.2">
      <c r="A557" s="496" t="s">
        <v>2005</v>
      </c>
      <c r="B557" s="496" t="s">
        <v>40</v>
      </c>
      <c r="C557" s="496" t="s">
        <v>2120</v>
      </c>
      <c r="D557" s="496" t="s">
        <v>1609</v>
      </c>
      <c r="E557" s="496">
        <f>'MCS Budget - Detailed'!N691</f>
        <v>1936</v>
      </c>
    </row>
    <row r="558" spans="1:5" x14ac:dyDescent="0.2">
      <c r="A558" s="496" t="s">
        <v>2005</v>
      </c>
      <c r="B558" s="496" t="s">
        <v>40</v>
      </c>
      <c r="C558" s="496" t="s">
        <v>2121</v>
      </c>
      <c r="D558" s="496" t="s">
        <v>1609</v>
      </c>
      <c r="E558" s="496">
        <f>'MCS Budget - Detailed'!N692</f>
        <v>1095</v>
      </c>
    </row>
    <row r="559" spans="1:5" x14ac:dyDescent="0.2">
      <c r="A559" s="494" t="s">
        <v>2005</v>
      </c>
      <c r="B559" s="496" t="s">
        <v>40</v>
      </c>
      <c r="C559" s="496" t="s">
        <v>2122</v>
      </c>
      <c r="D559" s="496" t="s">
        <v>1609</v>
      </c>
      <c r="E559" s="496">
        <f>'MCS Budget - Detailed'!N694</f>
        <v>7072</v>
      </c>
    </row>
    <row r="560" spans="1:5" x14ac:dyDescent="0.2">
      <c r="A560" s="494" t="s">
        <v>2005</v>
      </c>
      <c r="B560" s="496" t="s">
        <v>40</v>
      </c>
      <c r="C560" s="496" t="s">
        <v>2123</v>
      </c>
      <c r="D560" s="496" t="s">
        <v>1609</v>
      </c>
      <c r="E560" s="496">
        <f>'MCS Budget - Detailed'!N695</f>
        <v>18738</v>
      </c>
    </row>
    <row r="561" spans="1:5" x14ac:dyDescent="0.2">
      <c r="A561" s="494" t="s">
        <v>2005</v>
      </c>
      <c r="B561" s="496" t="s">
        <v>40</v>
      </c>
      <c r="C561" s="496" t="s">
        <v>2653</v>
      </c>
      <c r="D561" s="496" t="s">
        <v>1609</v>
      </c>
      <c r="E561" s="496">
        <f>'MCS Budget - Detailed'!N696</f>
        <v>164</v>
      </c>
    </row>
    <row r="562" spans="1:5" x14ac:dyDescent="0.2">
      <c r="A562" s="494" t="s">
        <v>2005</v>
      </c>
      <c r="B562" s="496" t="s">
        <v>40</v>
      </c>
      <c r="C562" s="496" t="s">
        <v>2696</v>
      </c>
      <c r="D562" s="496" t="s">
        <v>1609</v>
      </c>
      <c r="E562" s="496">
        <f>'MCS Budget - Detailed'!N698</f>
        <v>3750</v>
      </c>
    </row>
    <row r="563" spans="1:5" x14ac:dyDescent="0.2">
      <c r="A563" s="494" t="s">
        <v>2005</v>
      </c>
      <c r="B563" s="496" t="s">
        <v>40</v>
      </c>
      <c r="C563" s="496" t="s">
        <v>2124</v>
      </c>
      <c r="D563" s="496" t="s">
        <v>1609</v>
      </c>
      <c r="E563" s="496">
        <f>'MCS Budget - Detailed'!N699</f>
        <v>13</v>
      </c>
    </row>
    <row r="564" spans="1:5" x14ac:dyDescent="0.2">
      <c r="A564" s="494" t="s">
        <v>2005</v>
      </c>
      <c r="B564" s="496" t="s">
        <v>40</v>
      </c>
      <c r="C564" s="496" t="s">
        <v>2125</v>
      </c>
      <c r="D564" s="496" t="s">
        <v>1609</v>
      </c>
      <c r="E564" s="496">
        <f>'MCS Budget - Detailed'!N700</f>
        <v>33</v>
      </c>
    </row>
    <row r="565" spans="1:5" x14ac:dyDescent="0.2">
      <c r="A565" s="494" t="s">
        <v>2005</v>
      </c>
      <c r="B565" s="496" t="s">
        <v>40</v>
      </c>
      <c r="C565" s="496" t="s">
        <v>2126</v>
      </c>
      <c r="D565" s="496" t="s">
        <v>1609</v>
      </c>
      <c r="E565" s="496">
        <f>'MCS Budget - Detailed'!N701</f>
        <v>19</v>
      </c>
    </row>
    <row r="566" spans="1:5" x14ac:dyDescent="0.2">
      <c r="A566" s="494" t="s">
        <v>2005</v>
      </c>
      <c r="B566" s="496" t="s">
        <v>40</v>
      </c>
      <c r="C566" s="496" t="s">
        <v>2127</v>
      </c>
      <c r="D566" s="496" t="s">
        <v>1609</v>
      </c>
      <c r="E566" s="496">
        <f>'MCS Budget - Detailed'!N702</f>
        <v>54</v>
      </c>
    </row>
    <row r="567" spans="1:5" x14ac:dyDescent="0.2">
      <c r="A567" s="494" t="s">
        <v>2005</v>
      </c>
      <c r="B567" s="496" t="s">
        <v>40</v>
      </c>
      <c r="C567" s="496" t="s">
        <v>2654</v>
      </c>
      <c r="D567" s="496" t="s">
        <v>1609</v>
      </c>
      <c r="E567" s="496">
        <f>'MCS Budget - Detailed'!N704</f>
        <v>15</v>
      </c>
    </row>
    <row r="568" spans="1:5" x14ac:dyDescent="0.2">
      <c r="A568" s="494" t="s">
        <v>2005</v>
      </c>
      <c r="B568" s="496" t="s">
        <v>40</v>
      </c>
      <c r="C568" s="496" t="s">
        <v>2128</v>
      </c>
      <c r="D568" s="496" t="s">
        <v>1609</v>
      </c>
      <c r="E568" s="496">
        <f>'MCS Budget - Detailed'!N705</f>
        <v>84</v>
      </c>
    </row>
    <row r="569" spans="1:5" x14ac:dyDescent="0.2">
      <c r="A569" s="494" t="s">
        <v>2005</v>
      </c>
      <c r="B569" s="496" t="s">
        <v>40</v>
      </c>
      <c r="C569" s="496" t="s">
        <v>2129</v>
      </c>
      <c r="D569" s="496" t="s">
        <v>1609</v>
      </c>
      <c r="E569" s="496">
        <f>'MCS Budget - Detailed'!N706</f>
        <v>263</v>
      </c>
    </row>
    <row r="570" spans="1:5" x14ac:dyDescent="0.2">
      <c r="A570" s="494" t="s">
        <v>2005</v>
      </c>
      <c r="B570" s="496" t="s">
        <v>40</v>
      </c>
      <c r="C570" s="496" t="s">
        <v>2655</v>
      </c>
      <c r="D570" s="496" t="s">
        <v>1609</v>
      </c>
      <c r="E570" s="496">
        <f>'MCS Budget - Detailed'!N708</f>
        <v>45</v>
      </c>
    </row>
    <row r="571" spans="1:5" x14ac:dyDescent="0.2">
      <c r="A571" s="494" t="s">
        <v>2005</v>
      </c>
      <c r="B571" s="496" t="s">
        <v>40</v>
      </c>
      <c r="C571" s="496" t="s">
        <v>2131</v>
      </c>
      <c r="D571" s="496" t="s">
        <v>1609</v>
      </c>
      <c r="E571" s="496">
        <f>'MCS Budget - Detailed'!N709</f>
        <v>1200</v>
      </c>
    </row>
    <row r="572" spans="1:5" x14ac:dyDescent="0.2">
      <c r="A572" s="494" t="s">
        <v>2005</v>
      </c>
      <c r="B572" s="496" t="s">
        <v>40</v>
      </c>
      <c r="C572" s="496" t="s">
        <v>2130</v>
      </c>
      <c r="D572" s="496" t="s">
        <v>1609</v>
      </c>
      <c r="E572" s="496">
        <f>'MCS Budget - Detailed'!N710</f>
        <v>3653</v>
      </c>
    </row>
    <row r="573" spans="1:5" x14ac:dyDescent="0.2">
      <c r="A573" s="494" t="s">
        <v>2005</v>
      </c>
      <c r="B573" s="496" t="s">
        <v>40</v>
      </c>
      <c r="C573" s="496" t="s">
        <v>2656</v>
      </c>
      <c r="D573" s="496" t="s">
        <v>1609</v>
      </c>
      <c r="E573" s="496">
        <f>'MCS Budget - Detailed'!N712</f>
        <v>690</v>
      </c>
    </row>
    <row r="574" spans="1:5" x14ac:dyDescent="0.2">
      <c r="A574" s="494" t="s">
        <v>2005</v>
      </c>
      <c r="B574" s="496" t="s">
        <v>40</v>
      </c>
      <c r="C574" s="496" t="s">
        <v>2132</v>
      </c>
      <c r="D574" s="496" t="s">
        <v>1609</v>
      </c>
      <c r="E574" s="496">
        <f>'MCS Budget - Detailed'!N713</f>
        <v>1213</v>
      </c>
    </row>
    <row r="575" spans="1:5" x14ac:dyDescent="0.2">
      <c r="A575" s="494" t="s">
        <v>2005</v>
      </c>
      <c r="B575" s="496" t="s">
        <v>40</v>
      </c>
      <c r="C575" s="496" t="s">
        <v>2133</v>
      </c>
      <c r="D575" s="496" t="s">
        <v>1609</v>
      </c>
      <c r="E575" s="496">
        <f>'MCS Budget - Detailed'!N714</f>
        <v>3085</v>
      </c>
    </row>
    <row r="576" spans="1:5" x14ac:dyDescent="0.2">
      <c r="A576" s="494" t="s">
        <v>2005</v>
      </c>
      <c r="B576" s="496" t="s">
        <v>40</v>
      </c>
      <c r="C576" s="496" t="s">
        <v>2657</v>
      </c>
      <c r="D576" s="496" t="s">
        <v>1609</v>
      </c>
      <c r="E576" s="496">
        <f>'MCS Budget - Detailed'!N715</f>
        <v>774</v>
      </c>
    </row>
    <row r="577" spans="1:5" x14ac:dyDescent="0.2">
      <c r="A577" s="494" t="s">
        <v>2005</v>
      </c>
      <c r="B577" s="496" t="s">
        <v>40</v>
      </c>
      <c r="C577" s="496" t="s">
        <v>2658</v>
      </c>
      <c r="D577" s="496" t="s">
        <v>1609</v>
      </c>
      <c r="E577" s="496">
        <f>'MCS Budget - Detailed'!N717</f>
        <v>3380</v>
      </c>
    </row>
    <row r="578" spans="1:5" x14ac:dyDescent="0.2">
      <c r="A578" s="494" t="s">
        <v>2005</v>
      </c>
      <c r="B578" s="496" t="s">
        <v>40</v>
      </c>
      <c r="C578" s="496" t="s">
        <v>2659</v>
      </c>
      <c r="D578" s="496" t="s">
        <v>1609</v>
      </c>
      <c r="E578" s="496">
        <f>'MCS Budget - Detailed'!N718</f>
        <v>1010</v>
      </c>
    </row>
    <row r="579" spans="1:5" x14ac:dyDescent="0.2">
      <c r="A579" s="494" t="s">
        <v>2005</v>
      </c>
      <c r="B579" s="496" t="s">
        <v>40</v>
      </c>
      <c r="C579" s="496" t="s">
        <v>2660</v>
      </c>
      <c r="D579" s="496" t="s">
        <v>1609</v>
      </c>
      <c r="E579" s="496">
        <f>'MCS Budget - Detailed'!N719</f>
        <v>9526</v>
      </c>
    </row>
    <row r="580" spans="1:5" x14ac:dyDescent="0.2">
      <c r="A580" s="494" t="s">
        <v>2005</v>
      </c>
      <c r="B580" s="496" t="s">
        <v>40</v>
      </c>
      <c r="C580" s="496" t="s">
        <v>2661</v>
      </c>
      <c r="D580" s="496" t="s">
        <v>1609</v>
      </c>
      <c r="E580" s="496">
        <f>'MCS Budget - Detailed'!N720</f>
        <v>1050</v>
      </c>
    </row>
    <row r="581" spans="1:5" x14ac:dyDescent="0.2">
      <c r="A581" s="494" t="s">
        <v>2005</v>
      </c>
      <c r="B581" s="496" t="s">
        <v>40</v>
      </c>
      <c r="C581" s="496" t="s">
        <v>2662</v>
      </c>
      <c r="D581" s="496" t="s">
        <v>1609</v>
      </c>
      <c r="E581" s="496">
        <f>'MCS Budget - Detailed'!N721</f>
        <v>5000</v>
      </c>
    </row>
    <row r="582" spans="1:5" x14ac:dyDescent="0.2">
      <c r="A582" s="494" t="s">
        <v>2005</v>
      </c>
      <c r="B582" s="496" t="s">
        <v>40</v>
      </c>
      <c r="C582" s="496" t="s">
        <v>2134</v>
      </c>
      <c r="D582" s="496" t="s">
        <v>1609</v>
      </c>
      <c r="E582" s="496">
        <f>'MCS Budget - Detailed'!N723</f>
        <v>4485</v>
      </c>
    </row>
    <row r="583" spans="1:5" x14ac:dyDescent="0.2">
      <c r="A583" s="494" t="s">
        <v>2005</v>
      </c>
      <c r="B583" s="496" t="s">
        <v>40</v>
      </c>
      <c r="C583" s="496" t="s">
        <v>2135</v>
      </c>
      <c r="D583" s="496" t="s">
        <v>1609</v>
      </c>
      <c r="E583" s="496">
        <f>'MCS Budget - Detailed'!N724</f>
        <v>8</v>
      </c>
    </row>
    <row r="584" spans="1:5" x14ac:dyDescent="0.2">
      <c r="A584" s="494" t="s">
        <v>2005</v>
      </c>
      <c r="B584" s="496" t="s">
        <v>40</v>
      </c>
      <c r="C584" s="496" t="s">
        <v>2136</v>
      </c>
      <c r="D584" s="496" t="s">
        <v>1609</v>
      </c>
      <c r="E584" s="496">
        <f>'MCS Budget - Detailed'!N725</f>
        <v>14</v>
      </c>
    </row>
    <row r="585" spans="1:5" x14ac:dyDescent="0.2">
      <c r="A585" s="494" t="s">
        <v>2005</v>
      </c>
      <c r="B585" s="496" t="s">
        <v>40</v>
      </c>
      <c r="C585" s="496" t="s">
        <v>2137</v>
      </c>
      <c r="D585" s="496" t="s">
        <v>1609</v>
      </c>
      <c r="E585" s="496">
        <f>'MCS Budget - Detailed'!N726</f>
        <v>65</v>
      </c>
    </row>
    <row r="586" spans="1:5" x14ac:dyDescent="0.2">
      <c r="A586" s="494" t="s">
        <v>2005</v>
      </c>
      <c r="B586" s="496" t="s">
        <v>40</v>
      </c>
      <c r="C586" s="496" t="s">
        <v>2138</v>
      </c>
      <c r="D586" s="496" t="s">
        <v>1609</v>
      </c>
      <c r="E586" s="496">
        <f>'MCS Budget - Detailed'!N727</f>
        <v>915</v>
      </c>
    </row>
    <row r="587" spans="1:5" x14ac:dyDescent="0.2">
      <c r="A587" s="494" t="s">
        <v>2005</v>
      </c>
      <c r="B587" s="496" t="s">
        <v>40</v>
      </c>
      <c r="C587" s="496" t="s">
        <v>2139</v>
      </c>
      <c r="D587" s="496" t="s">
        <v>1609</v>
      </c>
      <c r="E587" s="496">
        <f>'MCS Budget - Detailed'!N728</f>
        <v>767</v>
      </c>
    </row>
    <row r="588" spans="1:5" x14ac:dyDescent="0.2">
      <c r="A588" s="494" t="s">
        <v>2005</v>
      </c>
      <c r="B588" s="496" t="s">
        <v>40</v>
      </c>
      <c r="C588" s="496" t="s">
        <v>2663</v>
      </c>
      <c r="D588" s="496" t="s">
        <v>1609</v>
      </c>
      <c r="E588" s="496">
        <f>'MCS Budget - Detailed'!N729</f>
        <v>135</v>
      </c>
    </row>
    <row r="589" spans="1:5" x14ac:dyDescent="0.2">
      <c r="A589" s="494" t="s">
        <v>2005</v>
      </c>
      <c r="B589" s="496" t="s">
        <v>40</v>
      </c>
      <c r="C589" s="496" t="s">
        <v>1891</v>
      </c>
      <c r="D589" s="496" t="s">
        <v>1609</v>
      </c>
      <c r="E589" s="496">
        <f>'MCS Budget - Detailed'!N731</f>
        <v>88928</v>
      </c>
    </row>
    <row r="590" spans="1:5" x14ac:dyDescent="0.2">
      <c r="A590" s="494" t="s">
        <v>2005</v>
      </c>
      <c r="B590" s="496" t="s">
        <v>40</v>
      </c>
      <c r="C590" s="496" t="s">
        <v>2140</v>
      </c>
      <c r="D590" s="496" t="s">
        <v>1609</v>
      </c>
      <c r="E590" s="496">
        <f>'MCS Budget - Detailed'!N732</f>
        <v>1640</v>
      </c>
    </row>
    <row r="591" spans="1:5" x14ac:dyDescent="0.2">
      <c r="A591" s="494" t="s">
        <v>2005</v>
      </c>
      <c r="B591" s="496" t="s">
        <v>40</v>
      </c>
      <c r="C591" s="496" t="s">
        <v>2141</v>
      </c>
      <c r="D591" s="496" t="s">
        <v>1609</v>
      </c>
      <c r="E591" s="496">
        <f>'MCS Budget - Detailed'!N733</f>
        <v>2228</v>
      </c>
    </row>
    <row r="592" spans="1:5" x14ac:dyDescent="0.2">
      <c r="A592" s="496" t="s">
        <v>2005</v>
      </c>
      <c r="B592" s="496" t="s">
        <v>40</v>
      </c>
      <c r="C592" s="496" t="s">
        <v>1892</v>
      </c>
      <c r="D592" s="496" t="s">
        <v>1609</v>
      </c>
      <c r="E592" s="496">
        <f>'MCS Budget - Detailed'!N734</f>
        <v>132</v>
      </c>
    </row>
    <row r="593" spans="1:5" x14ac:dyDescent="0.2">
      <c r="A593" s="494" t="s">
        <v>2005</v>
      </c>
      <c r="B593" s="496" t="s">
        <v>40</v>
      </c>
      <c r="C593" s="496" t="s">
        <v>1893</v>
      </c>
      <c r="D593" s="496" t="s">
        <v>1609</v>
      </c>
      <c r="E593" s="496">
        <f>'MCS Budget - Detailed'!N735</f>
        <v>291</v>
      </c>
    </row>
    <row r="594" spans="1:5" x14ac:dyDescent="0.2">
      <c r="A594" s="494" t="s">
        <v>2005</v>
      </c>
      <c r="B594" s="496" t="s">
        <v>40</v>
      </c>
      <c r="C594" s="496" t="s">
        <v>2142</v>
      </c>
      <c r="D594" s="496" t="s">
        <v>1609</v>
      </c>
      <c r="E594" s="496">
        <f>'MCS Budget - Detailed'!N736</f>
        <v>4</v>
      </c>
    </row>
    <row r="595" spans="1:5" x14ac:dyDescent="0.2">
      <c r="A595" s="494" t="s">
        <v>2005</v>
      </c>
      <c r="B595" s="496" t="s">
        <v>40</v>
      </c>
      <c r="C595" s="496" t="s">
        <v>2143</v>
      </c>
      <c r="D595" s="496" t="s">
        <v>1609</v>
      </c>
      <c r="E595" s="496">
        <f>'MCS Budget - Detailed'!N737</f>
        <v>6</v>
      </c>
    </row>
    <row r="596" spans="1:5" x14ac:dyDescent="0.2">
      <c r="A596" s="496" t="s">
        <v>2005</v>
      </c>
      <c r="B596" s="496" t="s">
        <v>40</v>
      </c>
      <c r="C596" s="496" t="s">
        <v>1894</v>
      </c>
      <c r="D596" s="496" t="s">
        <v>1609</v>
      </c>
      <c r="E596" s="496">
        <f>'MCS Budget - Detailed'!N738</f>
        <v>1406</v>
      </c>
    </row>
    <row r="597" spans="1:5" x14ac:dyDescent="0.2">
      <c r="A597" s="494" t="s">
        <v>2005</v>
      </c>
      <c r="B597" s="496" t="s">
        <v>40</v>
      </c>
      <c r="C597" s="496" t="s">
        <v>2144</v>
      </c>
      <c r="D597" s="496" t="s">
        <v>1609</v>
      </c>
      <c r="E597" s="496">
        <f>'MCS Budget - Detailed'!N739</f>
        <v>21</v>
      </c>
    </row>
    <row r="598" spans="1:5" x14ac:dyDescent="0.2">
      <c r="A598" s="494" t="s">
        <v>2005</v>
      </c>
      <c r="B598" s="496" t="s">
        <v>40</v>
      </c>
      <c r="C598" s="496" t="s">
        <v>2145</v>
      </c>
      <c r="D598" s="496" t="s">
        <v>1609</v>
      </c>
      <c r="E598" s="496">
        <f>'MCS Budget - Detailed'!N740</f>
        <v>29</v>
      </c>
    </row>
    <row r="599" spans="1:5" x14ac:dyDescent="0.2">
      <c r="A599" s="494" t="s">
        <v>2005</v>
      </c>
      <c r="B599" s="496" t="s">
        <v>40</v>
      </c>
      <c r="C599" s="496" t="s">
        <v>1895</v>
      </c>
      <c r="D599" s="496" t="s">
        <v>1609</v>
      </c>
      <c r="E599" s="496">
        <f>'MCS Budget - Detailed'!N741</f>
        <v>19774</v>
      </c>
    </row>
    <row r="600" spans="1:5" x14ac:dyDescent="0.2">
      <c r="A600" s="494" t="s">
        <v>2005</v>
      </c>
      <c r="B600" s="496" t="s">
        <v>40</v>
      </c>
      <c r="C600" s="496" t="s">
        <v>2146</v>
      </c>
      <c r="D600" s="496" t="s">
        <v>1609</v>
      </c>
      <c r="E600" s="496">
        <f>'MCS Budget - Detailed'!N742</f>
        <v>297</v>
      </c>
    </row>
    <row r="601" spans="1:5" x14ac:dyDescent="0.2">
      <c r="A601" s="494" t="s">
        <v>2005</v>
      </c>
      <c r="B601" s="496" t="s">
        <v>40</v>
      </c>
      <c r="C601" s="496" t="s">
        <v>2147</v>
      </c>
      <c r="D601" s="496" t="s">
        <v>1609</v>
      </c>
      <c r="E601" s="496">
        <f>'MCS Budget - Detailed'!N743</f>
        <v>403</v>
      </c>
    </row>
    <row r="602" spans="1:5" x14ac:dyDescent="0.2">
      <c r="A602" s="496" t="s">
        <v>2005</v>
      </c>
      <c r="B602" s="496" t="s">
        <v>40</v>
      </c>
      <c r="C602" s="496" t="s">
        <v>1896</v>
      </c>
      <c r="D602" s="496" t="s">
        <v>1609</v>
      </c>
      <c r="E602" s="496">
        <f>'MCS Budget - Detailed'!N744</f>
        <v>12264</v>
      </c>
    </row>
    <row r="603" spans="1:5" x14ac:dyDescent="0.2">
      <c r="A603" s="496" t="s">
        <v>2005</v>
      </c>
      <c r="B603" s="496" t="s">
        <v>40</v>
      </c>
      <c r="C603" s="496" t="s">
        <v>2664</v>
      </c>
      <c r="D603" s="496" t="s">
        <v>1609</v>
      </c>
      <c r="E603" s="496">
        <f>'MCS Budget - Detailed'!N745</f>
        <v>2668</v>
      </c>
    </row>
    <row r="604" spans="1:5" x14ac:dyDescent="0.2">
      <c r="A604" s="494" t="s">
        <v>2005</v>
      </c>
      <c r="B604" s="496" t="s">
        <v>40</v>
      </c>
      <c r="C604" s="496" t="s">
        <v>1897</v>
      </c>
      <c r="D604" s="496" t="s">
        <v>1609</v>
      </c>
      <c r="E604" s="496">
        <f>'MCS Budget - Detailed'!N746</f>
        <v>1600</v>
      </c>
    </row>
    <row r="605" spans="1:5" x14ac:dyDescent="0.2">
      <c r="A605" s="496" t="s">
        <v>2005</v>
      </c>
      <c r="B605" s="496" t="s">
        <v>40</v>
      </c>
      <c r="C605" s="496" t="s">
        <v>1898</v>
      </c>
      <c r="D605" s="496" t="s">
        <v>1609</v>
      </c>
      <c r="E605" s="496">
        <f>'MCS Budget - Detailed'!N747</f>
        <v>19000</v>
      </c>
    </row>
    <row r="606" spans="1:5" x14ac:dyDescent="0.2">
      <c r="A606" s="496" t="s">
        <v>2005</v>
      </c>
      <c r="B606" s="496" t="s">
        <v>40</v>
      </c>
      <c r="C606" s="496" t="s">
        <v>1899</v>
      </c>
      <c r="D606" s="496" t="s">
        <v>1609</v>
      </c>
      <c r="E606" s="496">
        <f>'MCS Budget - Detailed'!N750</f>
        <v>2000</v>
      </c>
    </row>
    <row r="607" spans="1:5" x14ac:dyDescent="0.2">
      <c r="A607" s="494" t="s">
        <v>2005</v>
      </c>
      <c r="B607" s="496" t="s">
        <v>40</v>
      </c>
      <c r="C607" s="496" t="s">
        <v>1900</v>
      </c>
      <c r="D607" s="496" t="s">
        <v>1609</v>
      </c>
      <c r="E607" s="496">
        <f>'MCS Budget - Detailed'!N751</f>
        <v>1000</v>
      </c>
    </row>
    <row r="608" spans="1:5" x14ac:dyDescent="0.2">
      <c r="A608" s="496" t="s">
        <v>2005</v>
      </c>
      <c r="B608" s="496" t="s">
        <v>40</v>
      </c>
      <c r="C608" s="496" t="s">
        <v>1901</v>
      </c>
      <c r="D608" s="496" t="s">
        <v>1609</v>
      </c>
      <c r="E608" s="496">
        <f>'MCS Budget - Detailed'!N753</f>
        <v>800</v>
      </c>
    </row>
    <row r="609" spans="1:5" x14ac:dyDescent="0.2">
      <c r="A609" s="494" t="s">
        <v>2005</v>
      </c>
      <c r="B609" s="496" t="s">
        <v>40</v>
      </c>
      <c r="C609" s="496" t="s">
        <v>2148</v>
      </c>
      <c r="D609" s="496" t="s">
        <v>1609</v>
      </c>
      <c r="E609" s="496">
        <f>'MCS Budget - Detailed'!N754</f>
        <v>8000</v>
      </c>
    </row>
    <row r="610" spans="1:5" x14ac:dyDescent="0.2">
      <c r="A610" s="494" t="s">
        <v>2005</v>
      </c>
      <c r="B610" s="496" t="s">
        <v>40</v>
      </c>
      <c r="C610" s="496" t="s">
        <v>1902</v>
      </c>
      <c r="D610" s="496" t="s">
        <v>1609</v>
      </c>
      <c r="E610" s="496">
        <f>'MCS Budget - Detailed'!N757</f>
        <v>38587</v>
      </c>
    </row>
    <row r="611" spans="1:5" x14ac:dyDescent="0.2">
      <c r="A611" s="496" t="s">
        <v>2005</v>
      </c>
      <c r="B611" s="496" t="s">
        <v>40</v>
      </c>
      <c r="C611" s="496" t="s">
        <v>1903</v>
      </c>
      <c r="D611" s="496" t="s">
        <v>1609</v>
      </c>
      <c r="E611" s="496">
        <f>'MCS Budget - Detailed'!N758</f>
        <v>54</v>
      </c>
    </row>
    <row r="612" spans="1:5" x14ac:dyDescent="0.2">
      <c r="A612" s="494" t="s">
        <v>2005</v>
      </c>
      <c r="B612" s="496" t="s">
        <v>40</v>
      </c>
      <c r="C612" s="496" t="s">
        <v>1904</v>
      </c>
      <c r="D612" s="496" t="s">
        <v>1609</v>
      </c>
      <c r="E612" s="496">
        <f>'MCS Budget - Detailed'!N759</f>
        <v>116</v>
      </c>
    </row>
    <row r="613" spans="1:5" x14ac:dyDescent="0.2">
      <c r="A613" s="496" t="s">
        <v>2005</v>
      </c>
      <c r="B613" s="496" t="s">
        <v>40</v>
      </c>
      <c r="C613" s="496" t="s">
        <v>1905</v>
      </c>
      <c r="D613" s="496" t="s">
        <v>1609</v>
      </c>
      <c r="E613" s="496">
        <f>'MCS Budget - Detailed'!N760</f>
        <v>560</v>
      </c>
    </row>
    <row r="614" spans="1:5" x14ac:dyDescent="0.2">
      <c r="A614" s="494" t="s">
        <v>2005</v>
      </c>
      <c r="B614" s="496" t="s">
        <v>40</v>
      </c>
      <c r="C614" s="496" t="s">
        <v>1906</v>
      </c>
      <c r="D614" s="496" t="s">
        <v>1609</v>
      </c>
      <c r="E614" s="496">
        <f>'MCS Budget - Detailed'!N761</f>
        <v>7872</v>
      </c>
    </row>
    <row r="615" spans="1:5" x14ac:dyDescent="0.2">
      <c r="A615" s="496" t="s">
        <v>2005</v>
      </c>
      <c r="B615" s="496" t="s">
        <v>40</v>
      </c>
      <c r="C615" s="496" t="s">
        <v>1907</v>
      </c>
      <c r="D615" s="496" t="s">
        <v>1609</v>
      </c>
      <c r="E615" s="496">
        <f>'MCS Budget - Detailed'!N762</f>
        <v>4983</v>
      </c>
    </row>
    <row r="616" spans="1:5" x14ac:dyDescent="0.2">
      <c r="A616" s="496" t="s">
        <v>2005</v>
      </c>
      <c r="B616" s="496" t="s">
        <v>40</v>
      </c>
      <c r="C616" s="496" t="s">
        <v>2665</v>
      </c>
      <c r="D616" s="496" t="s">
        <v>1609</v>
      </c>
      <c r="E616" s="496">
        <f>'MCS Budget - Detailed'!N763</f>
        <v>1158</v>
      </c>
    </row>
    <row r="617" spans="1:5" x14ac:dyDescent="0.2">
      <c r="A617" s="494" t="s">
        <v>2005</v>
      </c>
      <c r="B617" s="496" t="s">
        <v>40</v>
      </c>
      <c r="C617" s="496" t="s">
        <v>1908</v>
      </c>
      <c r="D617" s="496" t="s">
        <v>1609</v>
      </c>
      <c r="E617" s="496">
        <f>'MCS Budget - Detailed'!N764</f>
        <v>9500</v>
      </c>
    </row>
    <row r="618" spans="1:5" x14ac:dyDescent="0.2">
      <c r="A618" s="496" t="s">
        <v>2005</v>
      </c>
      <c r="B618" s="496" t="s">
        <v>40</v>
      </c>
      <c r="C618" s="496" t="s">
        <v>1909</v>
      </c>
      <c r="D618" s="496" t="s">
        <v>1609</v>
      </c>
      <c r="E618" s="496">
        <f>'MCS Budget - Detailed'!N765</f>
        <v>8500</v>
      </c>
    </row>
    <row r="619" spans="1:5" x14ac:dyDescent="0.2">
      <c r="A619" s="494" t="s">
        <v>2005</v>
      </c>
      <c r="B619" s="496" t="s">
        <v>40</v>
      </c>
      <c r="C619" s="496" t="s">
        <v>1910</v>
      </c>
      <c r="D619" s="496" t="s">
        <v>1609</v>
      </c>
      <c r="E619" s="496">
        <f>'MCS Budget - Detailed'!N766</f>
        <v>8500</v>
      </c>
    </row>
    <row r="620" spans="1:5" x14ac:dyDescent="0.2">
      <c r="A620" s="496" t="s">
        <v>2005</v>
      </c>
      <c r="B620" s="496" t="s">
        <v>40</v>
      </c>
      <c r="C620" s="496" t="s">
        <v>1911</v>
      </c>
      <c r="D620" s="496" t="s">
        <v>1609</v>
      </c>
      <c r="E620" s="496">
        <f>'MCS Budget - Detailed'!N767</f>
        <v>10000</v>
      </c>
    </row>
    <row r="621" spans="1:5" x14ac:dyDescent="0.2">
      <c r="A621" s="496" t="s">
        <v>2005</v>
      </c>
      <c r="B621" s="496" t="s">
        <v>40</v>
      </c>
      <c r="C621" s="496" t="s">
        <v>2666</v>
      </c>
      <c r="D621" s="496" t="s">
        <v>1609</v>
      </c>
      <c r="E621" s="496">
        <f>'MCS Budget - Detailed'!N768</f>
        <v>14000</v>
      </c>
    </row>
    <row r="622" spans="1:5" x14ac:dyDescent="0.2">
      <c r="A622" s="494" t="s">
        <v>2005</v>
      </c>
      <c r="B622" s="496" t="s">
        <v>40</v>
      </c>
      <c r="C622" s="496" t="s">
        <v>2149</v>
      </c>
      <c r="D622" s="496" t="s">
        <v>1609</v>
      </c>
      <c r="E622" s="496">
        <f>'MCS Budget - Detailed'!N772</f>
        <v>46601</v>
      </c>
    </row>
    <row r="623" spans="1:5" x14ac:dyDescent="0.2">
      <c r="A623" s="494" t="s">
        <v>2005</v>
      </c>
      <c r="B623" s="496" t="s">
        <v>40</v>
      </c>
      <c r="C623" s="496" t="s">
        <v>1912</v>
      </c>
      <c r="D623" s="496" t="s">
        <v>1609</v>
      </c>
      <c r="E623" s="496">
        <f>'MCS Budget - Detailed'!N773</f>
        <v>34600</v>
      </c>
    </row>
    <row r="624" spans="1:5" x14ac:dyDescent="0.2">
      <c r="A624" s="496" t="s">
        <v>2005</v>
      </c>
      <c r="B624" s="496" t="s">
        <v>40</v>
      </c>
      <c r="C624" s="496" t="s">
        <v>1913</v>
      </c>
      <c r="D624" s="496" t="s">
        <v>1609</v>
      </c>
      <c r="E624" s="496">
        <f>'MCS Budget - Detailed'!N774</f>
        <v>36056</v>
      </c>
    </row>
    <row r="625" spans="1:5" x14ac:dyDescent="0.2">
      <c r="A625" s="494" t="s">
        <v>2005</v>
      </c>
      <c r="B625" s="496" t="s">
        <v>40</v>
      </c>
      <c r="C625" s="496" t="s">
        <v>2150</v>
      </c>
      <c r="D625" s="496" t="s">
        <v>1609</v>
      </c>
      <c r="E625" s="496">
        <f>'MCS Budget - Detailed'!N775</f>
        <v>66</v>
      </c>
    </row>
    <row r="626" spans="1:5" x14ac:dyDescent="0.2">
      <c r="A626" s="494" t="s">
        <v>2005</v>
      </c>
      <c r="B626" s="496" t="s">
        <v>40</v>
      </c>
      <c r="C626" s="496" t="s">
        <v>1914</v>
      </c>
      <c r="D626" s="496" t="s">
        <v>1609</v>
      </c>
      <c r="E626" s="496">
        <f>'MCS Budget - Detailed'!N776</f>
        <v>4</v>
      </c>
    </row>
    <row r="627" spans="1:5" x14ac:dyDescent="0.2">
      <c r="A627" s="496" t="s">
        <v>2005</v>
      </c>
      <c r="B627" s="496" t="s">
        <v>40</v>
      </c>
      <c r="C627" s="496" t="s">
        <v>1915</v>
      </c>
      <c r="D627" s="496" t="s">
        <v>1609</v>
      </c>
      <c r="E627" s="496">
        <f>'MCS Budget - Detailed'!N777</f>
        <v>66</v>
      </c>
    </row>
    <row r="628" spans="1:5" x14ac:dyDescent="0.2">
      <c r="A628" s="494" t="s">
        <v>2005</v>
      </c>
      <c r="B628" s="496" t="s">
        <v>40</v>
      </c>
      <c r="C628" s="496" t="s">
        <v>2151</v>
      </c>
      <c r="D628" s="496" t="s">
        <v>1609</v>
      </c>
      <c r="E628" s="496">
        <f>'MCS Budget - Detailed'!N778</f>
        <v>140</v>
      </c>
    </row>
    <row r="629" spans="1:5" x14ac:dyDescent="0.2">
      <c r="A629" s="494" t="s">
        <v>2005</v>
      </c>
      <c r="B629" s="496" t="s">
        <v>40</v>
      </c>
      <c r="C629" s="496" t="s">
        <v>1916</v>
      </c>
      <c r="D629" s="496" t="s">
        <v>1609</v>
      </c>
      <c r="E629" s="496">
        <f>'MCS Budget - Detailed'!N779</f>
        <v>104</v>
      </c>
    </row>
    <row r="630" spans="1:5" x14ac:dyDescent="0.2">
      <c r="A630" s="496" t="s">
        <v>2005</v>
      </c>
      <c r="B630" s="496" t="s">
        <v>40</v>
      </c>
      <c r="C630" s="496" t="s">
        <v>1917</v>
      </c>
      <c r="D630" s="496" t="s">
        <v>1609</v>
      </c>
      <c r="E630" s="496">
        <f>'MCS Budget - Detailed'!N780</f>
        <v>109</v>
      </c>
    </row>
    <row r="631" spans="1:5" x14ac:dyDescent="0.2">
      <c r="A631" s="494" t="s">
        <v>2005</v>
      </c>
      <c r="B631" s="496" t="s">
        <v>40</v>
      </c>
      <c r="C631" s="496" t="s">
        <v>2153</v>
      </c>
      <c r="D631" s="496" t="s">
        <v>1609</v>
      </c>
      <c r="E631" s="496">
        <f>'MCS Budget - Detailed'!N781</f>
        <v>676</v>
      </c>
    </row>
    <row r="632" spans="1:5" x14ac:dyDescent="0.2">
      <c r="A632" s="494" t="s">
        <v>2005</v>
      </c>
      <c r="B632" s="496" t="s">
        <v>40</v>
      </c>
      <c r="C632" s="496" t="s">
        <v>1918</v>
      </c>
      <c r="D632" s="496" t="s">
        <v>1609</v>
      </c>
      <c r="E632" s="496">
        <f>'MCS Budget - Detailed'!N782</f>
        <v>502</v>
      </c>
    </row>
    <row r="633" spans="1:5" x14ac:dyDescent="0.2">
      <c r="A633" s="496" t="s">
        <v>2005</v>
      </c>
      <c r="B633" s="496" t="s">
        <v>40</v>
      </c>
      <c r="C633" s="496" t="s">
        <v>1919</v>
      </c>
      <c r="D633" s="496" t="s">
        <v>1609</v>
      </c>
      <c r="E633" s="496">
        <f>'MCS Budget - Detailed'!N783</f>
        <v>523</v>
      </c>
    </row>
    <row r="634" spans="1:5" x14ac:dyDescent="0.2">
      <c r="A634" s="494" t="s">
        <v>2005</v>
      </c>
      <c r="B634" s="496" t="s">
        <v>40</v>
      </c>
      <c r="C634" s="496" t="s">
        <v>2152</v>
      </c>
      <c r="D634" s="496" t="s">
        <v>1609</v>
      </c>
      <c r="E634" s="496">
        <f>'MCS Budget - Detailed'!N784</f>
        <v>9507</v>
      </c>
    </row>
    <row r="635" spans="1:5" x14ac:dyDescent="0.2">
      <c r="A635" s="494" t="s">
        <v>2005</v>
      </c>
      <c r="B635" s="496" t="s">
        <v>40</v>
      </c>
      <c r="C635" s="496" t="s">
        <v>1920</v>
      </c>
      <c r="D635" s="496" t="s">
        <v>1609</v>
      </c>
      <c r="E635" s="496">
        <f>'MCS Budget - Detailed'!N785</f>
        <v>7059</v>
      </c>
    </row>
    <row r="636" spans="1:5" x14ac:dyDescent="0.2">
      <c r="A636" s="496" t="s">
        <v>2005</v>
      </c>
      <c r="B636" s="496" t="s">
        <v>40</v>
      </c>
      <c r="C636" s="496" t="s">
        <v>1921</v>
      </c>
      <c r="D636" s="496" t="s">
        <v>1609</v>
      </c>
      <c r="E636" s="496">
        <f>'MCS Budget - Detailed'!N786</f>
        <v>7356</v>
      </c>
    </row>
    <row r="637" spans="1:5" x14ac:dyDescent="0.2">
      <c r="A637" s="494" t="s">
        <v>2005</v>
      </c>
      <c r="B637" s="496" t="s">
        <v>40</v>
      </c>
      <c r="C637" s="496" t="s">
        <v>2154</v>
      </c>
      <c r="D637" s="496" t="s">
        <v>1609</v>
      </c>
      <c r="E637" s="496">
        <f>'MCS Budget - Detailed'!N787</f>
        <v>6169</v>
      </c>
    </row>
    <row r="638" spans="1:5" x14ac:dyDescent="0.2">
      <c r="A638" s="494" t="s">
        <v>2005</v>
      </c>
      <c r="B638" s="496" t="s">
        <v>40</v>
      </c>
      <c r="C638" s="496" t="s">
        <v>1922</v>
      </c>
      <c r="D638" s="496" t="s">
        <v>1609</v>
      </c>
      <c r="E638" s="496">
        <f>'MCS Budget - Detailed'!N788</f>
        <v>2</v>
      </c>
    </row>
    <row r="639" spans="1:5" x14ac:dyDescent="0.2">
      <c r="A639" s="496" t="s">
        <v>2005</v>
      </c>
      <c r="B639" s="496" t="s">
        <v>40</v>
      </c>
      <c r="C639" s="496" t="s">
        <v>1923</v>
      </c>
      <c r="D639" s="496" t="s">
        <v>1609</v>
      </c>
      <c r="E639" s="496">
        <f>'MCS Budget - Detailed'!N789</f>
        <v>6169</v>
      </c>
    </row>
    <row r="640" spans="1:5" x14ac:dyDescent="0.2">
      <c r="A640" s="496" t="s">
        <v>2005</v>
      </c>
      <c r="B640" s="496" t="s">
        <v>40</v>
      </c>
      <c r="C640" s="496" t="s">
        <v>2667</v>
      </c>
      <c r="D640" s="496" t="s">
        <v>1609</v>
      </c>
      <c r="E640" s="496">
        <f>'MCS Budget - Detailed'!N790</f>
        <v>1398</v>
      </c>
    </row>
    <row r="641" spans="1:5" x14ac:dyDescent="0.2">
      <c r="A641" s="496" t="s">
        <v>2005</v>
      </c>
      <c r="B641" s="496" t="s">
        <v>40</v>
      </c>
      <c r="C641" s="496" t="s">
        <v>2668</v>
      </c>
      <c r="D641" s="496" t="s">
        <v>1609</v>
      </c>
      <c r="E641" s="496">
        <f>'MCS Budget - Detailed'!N791</f>
        <v>1020</v>
      </c>
    </row>
    <row r="642" spans="1:5" x14ac:dyDescent="0.2">
      <c r="A642" s="496" t="s">
        <v>2005</v>
      </c>
      <c r="B642" s="496" t="s">
        <v>40</v>
      </c>
      <c r="C642" s="496" t="s">
        <v>2669</v>
      </c>
      <c r="D642" s="496" t="s">
        <v>1609</v>
      </c>
      <c r="E642" s="496">
        <f>'MCS Budget - Detailed'!N792</f>
        <v>1082</v>
      </c>
    </row>
    <row r="643" spans="1:5" x14ac:dyDescent="0.2">
      <c r="A643" s="494" t="s">
        <v>2005</v>
      </c>
      <c r="B643" s="496" t="s">
        <v>40</v>
      </c>
      <c r="C643" s="496" t="s">
        <v>1924</v>
      </c>
      <c r="D643" s="496" t="s">
        <v>1609</v>
      </c>
      <c r="E643" s="496">
        <f>'MCS Budget - Detailed'!N793</f>
        <v>25000</v>
      </c>
    </row>
    <row r="644" spans="1:5" x14ac:dyDescent="0.2">
      <c r="A644" s="496" t="s">
        <v>2005</v>
      </c>
      <c r="B644" s="496" t="s">
        <v>40</v>
      </c>
      <c r="C644" s="496" t="s">
        <v>1925</v>
      </c>
      <c r="D644" s="496" t="s">
        <v>1609</v>
      </c>
      <c r="E644" s="496">
        <f>'MCS Budget - Detailed'!N795</f>
        <v>7000</v>
      </c>
    </row>
    <row r="645" spans="1:5" x14ac:dyDescent="0.2">
      <c r="A645" s="494" t="s">
        <v>2005</v>
      </c>
      <c r="B645" s="496" t="s">
        <v>40</v>
      </c>
      <c r="C645" s="496" t="s">
        <v>1926</v>
      </c>
      <c r="D645" s="496" t="s">
        <v>1609</v>
      </c>
      <c r="E645" s="496">
        <f>'MCS Budget - Detailed'!N796</f>
        <v>6000</v>
      </c>
    </row>
    <row r="646" spans="1:5" x14ac:dyDescent="0.2">
      <c r="A646" s="496" t="s">
        <v>2005</v>
      </c>
      <c r="B646" s="496" t="s">
        <v>40</v>
      </c>
      <c r="C646" s="496" t="s">
        <v>2155</v>
      </c>
      <c r="D646" s="496" t="s">
        <v>1609</v>
      </c>
      <c r="E646" s="496">
        <f>'MCS Budget - Detailed'!N797</f>
        <v>100</v>
      </c>
    </row>
    <row r="647" spans="1:5" x14ac:dyDescent="0.2">
      <c r="A647" s="496" t="s">
        <v>2005</v>
      </c>
      <c r="B647" s="496" t="s">
        <v>40</v>
      </c>
      <c r="C647" s="496" t="s">
        <v>2156</v>
      </c>
      <c r="D647" s="496" t="s">
        <v>1609</v>
      </c>
      <c r="E647" s="496">
        <f>'MCS Budget - Detailed'!N798</f>
        <v>250</v>
      </c>
    </row>
    <row r="648" spans="1:5" x14ac:dyDescent="0.2">
      <c r="A648" s="496" t="s">
        <v>2005</v>
      </c>
      <c r="B648" s="496" t="s">
        <v>40</v>
      </c>
      <c r="C648" s="496" t="s">
        <v>1927</v>
      </c>
      <c r="D648" s="496" t="s">
        <v>1609</v>
      </c>
      <c r="E648" s="496">
        <f>'MCS Budget - Detailed'!N799</f>
        <v>18500</v>
      </c>
    </row>
    <row r="649" spans="1:5" x14ac:dyDescent="0.2">
      <c r="A649" s="494" t="s">
        <v>2005</v>
      </c>
      <c r="B649" s="496" t="s">
        <v>40</v>
      </c>
      <c r="C649" s="496" t="s">
        <v>1928</v>
      </c>
      <c r="D649" s="496" t="s">
        <v>1609</v>
      </c>
      <c r="E649" s="496">
        <f>'MCS Budget - Detailed'!N800</f>
        <v>27000</v>
      </c>
    </row>
    <row r="650" spans="1:5" x14ac:dyDescent="0.2">
      <c r="A650" s="496" t="s">
        <v>2005</v>
      </c>
      <c r="B650" s="496" t="s">
        <v>40</v>
      </c>
      <c r="C650" s="496" t="s">
        <v>1929</v>
      </c>
      <c r="D650" s="496" t="s">
        <v>1609</v>
      </c>
      <c r="E650" s="496">
        <f>'MCS Budget - Detailed'!N801</f>
        <v>50000</v>
      </c>
    </row>
    <row r="651" spans="1:5" x14ac:dyDescent="0.2">
      <c r="A651" s="494" t="s">
        <v>2005</v>
      </c>
      <c r="B651" s="496" t="s">
        <v>40</v>
      </c>
      <c r="C651" s="496" t="s">
        <v>1930</v>
      </c>
      <c r="D651" s="496" t="s">
        <v>1609</v>
      </c>
      <c r="E651" s="496">
        <f>'MCS Budget - Detailed'!N802</f>
        <v>4000</v>
      </c>
    </row>
    <row r="652" spans="1:5" x14ac:dyDescent="0.2">
      <c r="A652" s="496" t="s">
        <v>2005</v>
      </c>
      <c r="B652" s="496" t="s">
        <v>40</v>
      </c>
      <c r="C652" s="496" t="s">
        <v>1931</v>
      </c>
      <c r="D652" s="496" t="s">
        <v>1609</v>
      </c>
      <c r="E652" s="496">
        <f>'MCS Budget - Detailed'!N807</f>
        <v>61200</v>
      </c>
    </row>
    <row r="653" spans="1:5" x14ac:dyDescent="0.2">
      <c r="A653" s="494" t="s">
        <v>2005</v>
      </c>
      <c r="B653" s="496" t="s">
        <v>40</v>
      </c>
      <c r="C653" s="496" t="s">
        <v>1932</v>
      </c>
      <c r="D653" s="496" t="s">
        <v>1609</v>
      </c>
      <c r="E653" s="496">
        <f>'MCS Budget - Detailed'!N808</f>
        <v>46601</v>
      </c>
    </row>
    <row r="654" spans="1:5" x14ac:dyDescent="0.2">
      <c r="A654" s="496" t="s">
        <v>2005</v>
      </c>
      <c r="B654" s="496" t="s">
        <v>40</v>
      </c>
      <c r="C654" s="496" t="s">
        <v>2157</v>
      </c>
      <c r="D654" s="496" t="s">
        <v>1609</v>
      </c>
      <c r="E654" s="496">
        <f>'MCS Budget - Detailed'!N809</f>
        <v>1822</v>
      </c>
    </row>
    <row r="655" spans="1:5" x14ac:dyDescent="0.2">
      <c r="A655" s="496" t="s">
        <v>2005</v>
      </c>
      <c r="B655" s="496" t="s">
        <v>40</v>
      </c>
      <c r="C655" s="496" t="s">
        <v>1933</v>
      </c>
      <c r="D655" s="496" t="s">
        <v>1609</v>
      </c>
      <c r="E655" s="496">
        <f>'MCS Budget - Detailed'!N810</f>
        <v>229</v>
      </c>
    </row>
    <row r="656" spans="1:5" x14ac:dyDescent="0.2">
      <c r="A656" s="494" t="s">
        <v>2005</v>
      </c>
      <c r="B656" s="496" t="s">
        <v>40</v>
      </c>
      <c r="C656" s="496" t="s">
        <v>1934</v>
      </c>
      <c r="D656" s="496" t="s">
        <v>1609</v>
      </c>
      <c r="E656" s="496">
        <f>'MCS Budget - Detailed'!N811</f>
        <v>66</v>
      </c>
    </row>
    <row r="657" spans="1:5" x14ac:dyDescent="0.2">
      <c r="A657" s="496" t="s">
        <v>2005</v>
      </c>
      <c r="B657" s="496" t="s">
        <v>40</v>
      </c>
      <c r="C657" s="496" t="s">
        <v>1935</v>
      </c>
      <c r="D657" s="496" t="s">
        <v>1609</v>
      </c>
      <c r="E657" s="496">
        <f>'MCS Budget - Detailed'!N812</f>
        <v>184</v>
      </c>
    </row>
    <row r="658" spans="1:5" x14ac:dyDescent="0.2">
      <c r="A658" s="494" t="s">
        <v>2005</v>
      </c>
      <c r="B658" s="496" t="s">
        <v>40</v>
      </c>
      <c r="C658" s="496" t="s">
        <v>1936</v>
      </c>
      <c r="D658" s="496" t="s">
        <v>1609</v>
      </c>
      <c r="E658" s="496">
        <f>'MCS Budget - Detailed'!N813</f>
        <v>140</v>
      </c>
    </row>
    <row r="659" spans="1:5" x14ac:dyDescent="0.2">
      <c r="A659" s="494" t="s">
        <v>2005</v>
      </c>
      <c r="B659" s="496" t="s">
        <v>40</v>
      </c>
      <c r="C659" s="496" t="s">
        <v>2158</v>
      </c>
      <c r="D659" s="496" t="s">
        <v>1609</v>
      </c>
      <c r="E659" s="496">
        <f>'MCS Budget - Detailed'!N814</f>
        <v>5</v>
      </c>
    </row>
    <row r="660" spans="1:5" x14ac:dyDescent="0.2">
      <c r="A660" s="496" t="s">
        <v>2005</v>
      </c>
      <c r="B660" s="496" t="s">
        <v>40</v>
      </c>
      <c r="C660" s="496" t="s">
        <v>1937</v>
      </c>
      <c r="D660" s="496" t="s">
        <v>1609</v>
      </c>
      <c r="E660" s="496">
        <f>'MCS Budget - Detailed'!N815</f>
        <v>888</v>
      </c>
    </row>
    <row r="661" spans="1:5" x14ac:dyDescent="0.2">
      <c r="A661" s="494" t="s">
        <v>2005</v>
      </c>
      <c r="B661" s="496" t="s">
        <v>40</v>
      </c>
      <c r="C661" s="496" t="s">
        <v>1938</v>
      </c>
      <c r="D661" s="496" t="s">
        <v>1609</v>
      </c>
      <c r="E661" s="496">
        <f>'MCS Budget - Detailed'!N816</f>
        <v>676</v>
      </c>
    </row>
    <row r="662" spans="1:5" x14ac:dyDescent="0.2">
      <c r="A662" s="494" t="s">
        <v>2005</v>
      </c>
      <c r="B662" s="496" t="s">
        <v>40</v>
      </c>
      <c r="C662" s="496" t="s">
        <v>2159</v>
      </c>
      <c r="D662" s="496" t="s">
        <v>1609</v>
      </c>
      <c r="E662" s="496">
        <f>'MCS Budget - Detailed'!N817</f>
        <v>27</v>
      </c>
    </row>
    <row r="663" spans="1:5" x14ac:dyDescent="0.2">
      <c r="A663" s="496" t="s">
        <v>2005</v>
      </c>
      <c r="B663" s="496" t="s">
        <v>40</v>
      </c>
      <c r="C663" s="496" t="s">
        <v>1939</v>
      </c>
      <c r="D663" s="496" t="s">
        <v>1609</v>
      </c>
      <c r="E663" s="496">
        <f>'MCS Budget - Detailed'!N818</f>
        <v>12485</v>
      </c>
    </row>
    <row r="664" spans="1:5" x14ac:dyDescent="0.2">
      <c r="A664" s="494" t="s">
        <v>2005</v>
      </c>
      <c r="B664" s="496" t="s">
        <v>40</v>
      </c>
      <c r="C664" s="496" t="s">
        <v>1940</v>
      </c>
      <c r="D664" s="496" t="s">
        <v>1609</v>
      </c>
      <c r="E664" s="496">
        <f>'MCS Budget - Detailed'!N819</f>
        <v>9507</v>
      </c>
    </row>
    <row r="665" spans="1:5" x14ac:dyDescent="0.2">
      <c r="A665" s="494" t="s">
        <v>2005</v>
      </c>
      <c r="B665" s="496" t="s">
        <v>40</v>
      </c>
      <c r="C665" s="496" t="s">
        <v>2160</v>
      </c>
      <c r="D665" s="496" t="s">
        <v>1609</v>
      </c>
      <c r="E665" s="496">
        <f>'MCS Budget - Detailed'!N820</f>
        <v>372</v>
      </c>
    </row>
    <row r="666" spans="1:5" x14ac:dyDescent="0.2">
      <c r="A666" s="496" t="s">
        <v>2005</v>
      </c>
      <c r="B666" s="496" t="s">
        <v>40</v>
      </c>
      <c r="C666" s="496" t="s">
        <v>1941</v>
      </c>
      <c r="D666" s="496" t="s">
        <v>1609</v>
      </c>
      <c r="E666" s="496">
        <f>'MCS Budget - Detailed'!N821</f>
        <v>15969</v>
      </c>
    </row>
    <row r="667" spans="1:5" x14ac:dyDescent="0.2">
      <c r="A667" s="496" t="s">
        <v>2005</v>
      </c>
      <c r="B667" s="496" t="s">
        <v>40</v>
      </c>
      <c r="C667" s="496" t="s">
        <v>2161</v>
      </c>
      <c r="D667" s="496" t="s">
        <v>1609</v>
      </c>
      <c r="E667" s="496">
        <f>'MCS Budget - Detailed'!N822</f>
        <v>6132</v>
      </c>
    </row>
    <row r="668" spans="1:5" x14ac:dyDescent="0.2">
      <c r="A668" s="496" t="s">
        <v>2005</v>
      </c>
      <c r="B668" s="496" t="s">
        <v>40</v>
      </c>
      <c r="C668" s="496" t="s">
        <v>2670</v>
      </c>
      <c r="D668" s="496" t="s">
        <v>1609</v>
      </c>
      <c r="E668" s="496">
        <f>'MCS Budget - Detailed'!N823</f>
        <v>1836</v>
      </c>
    </row>
    <row r="669" spans="1:5" x14ac:dyDescent="0.2">
      <c r="A669" s="496" t="s">
        <v>2005</v>
      </c>
      <c r="B669" s="496" t="s">
        <v>40</v>
      </c>
      <c r="C669" s="496" t="s">
        <v>2671</v>
      </c>
      <c r="D669" s="496" t="s">
        <v>1609</v>
      </c>
      <c r="E669" s="496">
        <f>'MCS Budget - Detailed'!N824</f>
        <v>1398</v>
      </c>
    </row>
    <row r="670" spans="1:5" x14ac:dyDescent="0.2">
      <c r="A670" s="496" t="s">
        <v>2005</v>
      </c>
      <c r="B670" s="496" t="s">
        <v>40</v>
      </c>
      <c r="C670" s="496" t="s">
        <v>1942</v>
      </c>
      <c r="D670" s="496" t="s">
        <v>1609</v>
      </c>
      <c r="E670" s="496">
        <f>'MCS Budget - Detailed'!N825</f>
        <v>5000</v>
      </c>
    </row>
    <row r="671" spans="1:5" x14ac:dyDescent="0.2">
      <c r="A671" s="494" t="s">
        <v>2005</v>
      </c>
      <c r="B671" s="496" t="s">
        <v>40</v>
      </c>
      <c r="C671" s="496" t="s">
        <v>1943</v>
      </c>
      <c r="D671" s="496" t="s">
        <v>1609</v>
      </c>
      <c r="E671" s="496">
        <f>'MCS Budget - Detailed'!N826</f>
        <v>9865</v>
      </c>
    </row>
    <row r="672" spans="1:5" x14ac:dyDescent="0.2">
      <c r="A672" s="494" t="s">
        <v>2005</v>
      </c>
      <c r="B672" s="496" t="s">
        <v>40</v>
      </c>
      <c r="C672" s="496" t="s">
        <v>2672</v>
      </c>
      <c r="D672" s="496" t="s">
        <v>1609</v>
      </c>
      <c r="E672" s="496">
        <f>'MCS Budget - Detailed'!N827</f>
        <v>6000</v>
      </c>
    </row>
    <row r="673" spans="1:5" x14ac:dyDescent="0.2">
      <c r="A673" s="496" t="s">
        <v>2005</v>
      </c>
      <c r="B673" s="496" t="s">
        <v>40</v>
      </c>
      <c r="C673" s="496" t="s">
        <v>1944</v>
      </c>
      <c r="D673" s="496" t="s">
        <v>1609</v>
      </c>
      <c r="E673" s="496">
        <f>'MCS Budget - Detailed'!N828</f>
        <v>1000</v>
      </c>
    </row>
    <row r="674" spans="1:5" x14ac:dyDescent="0.2">
      <c r="A674" s="494" t="s">
        <v>2005</v>
      </c>
      <c r="B674" s="496" t="s">
        <v>40</v>
      </c>
      <c r="C674" s="496" t="s">
        <v>1945</v>
      </c>
      <c r="D674" s="496" t="s">
        <v>1609</v>
      </c>
      <c r="E674" s="496">
        <f>'MCS Budget - Detailed'!N829</f>
        <v>7000</v>
      </c>
    </row>
    <row r="675" spans="1:5" x14ac:dyDescent="0.2">
      <c r="A675" s="496" t="s">
        <v>2005</v>
      </c>
      <c r="B675" s="496" t="s">
        <v>40</v>
      </c>
      <c r="C675" s="496" t="s">
        <v>1946</v>
      </c>
      <c r="D675" s="496" t="s">
        <v>1609</v>
      </c>
      <c r="E675" s="496">
        <f>'MCS Budget - Detailed'!N830</f>
        <v>17000</v>
      </c>
    </row>
    <row r="676" spans="1:5" x14ac:dyDescent="0.2">
      <c r="A676" s="494" t="s">
        <v>2005</v>
      </c>
      <c r="B676" s="496" t="s">
        <v>40</v>
      </c>
      <c r="C676" s="496" t="s">
        <v>1947</v>
      </c>
      <c r="D676" s="496" t="s">
        <v>1609</v>
      </c>
      <c r="E676" s="496">
        <f>'MCS Budget - Detailed'!N831</f>
        <v>3000</v>
      </c>
    </row>
    <row r="677" spans="1:5" x14ac:dyDescent="0.2">
      <c r="A677" s="496" t="s">
        <v>2005</v>
      </c>
      <c r="B677" s="496" t="s">
        <v>40</v>
      </c>
      <c r="C677" s="496" t="s">
        <v>1948</v>
      </c>
      <c r="D677" s="496" t="s">
        <v>1609</v>
      </c>
      <c r="E677" s="496">
        <f>'MCS Budget - Detailed'!N834</f>
        <v>7500</v>
      </c>
    </row>
    <row r="678" spans="1:5" x14ac:dyDescent="0.2">
      <c r="A678" s="494" t="s">
        <v>2005</v>
      </c>
      <c r="B678" s="496" t="s">
        <v>40</v>
      </c>
      <c r="C678" s="496" t="s">
        <v>1949</v>
      </c>
      <c r="D678" s="496" t="s">
        <v>1609</v>
      </c>
      <c r="E678" s="496">
        <f>'MCS Budget - Detailed'!N835</f>
        <v>23</v>
      </c>
    </row>
    <row r="679" spans="1:5" x14ac:dyDescent="0.2">
      <c r="A679" s="496" t="s">
        <v>2005</v>
      </c>
      <c r="B679" s="496" t="s">
        <v>40</v>
      </c>
      <c r="C679" s="496" t="s">
        <v>1950</v>
      </c>
      <c r="D679" s="496" t="s">
        <v>1609</v>
      </c>
      <c r="E679" s="496">
        <f>'MCS Budget - Detailed'!N836</f>
        <v>109</v>
      </c>
    </row>
    <row r="680" spans="1:5" x14ac:dyDescent="0.2">
      <c r="A680" s="494" t="s">
        <v>2005</v>
      </c>
      <c r="B680" s="496" t="s">
        <v>40</v>
      </c>
      <c r="C680" s="496" t="s">
        <v>1951</v>
      </c>
      <c r="D680" s="496" t="s">
        <v>1609</v>
      </c>
      <c r="E680" s="496">
        <f>'MCS Budget - Detailed'!N837</f>
        <v>1530</v>
      </c>
    </row>
    <row r="681" spans="1:5" x14ac:dyDescent="0.2">
      <c r="A681" s="494" t="s">
        <v>2005</v>
      </c>
      <c r="B681" s="496" t="s">
        <v>40</v>
      </c>
      <c r="C681" s="496" t="s">
        <v>2673</v>
      </c>
      <c r="D681" s="496" t="s">
        <v>1609</v>
      </c>
      <c r="E681" s="496">
        <f>'MCS Budget - Detailed'!N838</f>
        <v>225</v>
      </c>
    </row>
    <row r="682" spans="1:5" x14ac:dyDescent="0.2">
      <c r="A682" s="494" t="s">
        <v>2005</v>
      </c>
      <c r="B682" s="496" t="s">
        <v>40</v>
      </c>
      <c r="C682" s="496" t="s">
        <v>2162</v>
      </c>
      <c r="D682" s="496" t="s">
        <v>1609</v>
      </c>
      <c r="E682" s="496">
        <f>'MCS Budget - Detailed'!N839</f>
        <v>150</v>
      </c>
    </row>
    <row r="683" spans="1:5" x14ac:dyDescent="0.2">
      <c r="A683" s="496" t="s">
        <v>2005</v>
      </c>
      <c r="B683" s="496" t="s">
        <v>40</v>
      </c>
      <c r="C683" s="496" t="s">
        <v>1952</v>
      </c>
      <c r="D683" s="496" t="s">
        <v>1609</v>
      </c>
      <c r="E683" s="496">
        <f>'MCS Budget - Detailed'!N841</f>
        <v>95939</v>
      </c>
    </row>
    <row r="684" spans="1:5" x14ac:dyDescent="0.2">
      <c r="A684" s="494" t="s">
        <v>2005</v>
      </c>
      <c r="B684" s="496" t="s">
        <v>40</v>
      </c>
      <c r="C684" s="496" t="s">
        <v>1953</v>
      </c>
      <c r="D684" s="496" t="s">
        <v>1609</v>
      </c>
      <c r="E684" s="496">
        <f>'MCS Budget - Detailed'!N846</f>
        <v>19000</v>
      </c>
    </row>
    <row r="685" spans="1:5" x14ac:dyDescent="0.2">
      <c r="A685" s="496" t="s">
        <v>2005</v>
      </c>
      <c r="B685" s="496" t="s">
        <v>40</v>
      </c>
      <c r="C685" s="496" t="s">
        <v>1954</v>
      </c>
      <c r="D685" s="496" t="s">
        <v>1609</v>
      </c>
      <c r="E685" s="496">
        <f>'MCS Budget - Detailed'!N848</f>
        <v>1600867</v>
      </c>
    </row>
    <row r="686" spans="1:5" x14ac:dyDescent="0.2">
      <c r="A686" s="494" t="s">
        <v>2005</v>
      </c>
      <c r="B686" s="496" t="s">
        <v>40</v>
      </c>
      <c r="C686" s="496" t="s">
        <v>1955</v>
      </c>
      <c r="D686" s="496" t="s">
        <v>1609</v>
      </c>
      <c r="E686" s="496">
        <f>'MCS Budget - Detailed'!N850</f>
        <v>85000</v>
      </c>
    </row>
    <row r="687" spans="1:5" x14ac:dyDescent="0.2">
      <c r="A687" s="496" t="s">
        <v>2005</v>
      </c>
      <c r="B687" s="496" t="s">
        <v>404</v>
      </c>
      <c r="C687" s="496" t="s">
        <v>2209</v>
      </c>
      <c r="D687" s="496" t="s">
        <v>1587</v>
      </c>
      <c r="E687" s="496">
        <f>'MCS Budget - Detailed'!N855</f>
        <v>33587</v>
      </c>
    </row>
    <row r="688" spans="1:5" x14ac:dyDescent="0.2">
      <c r="A688" s="496" t="s">
        <v>2005</v>
      </c>
      <c r="B688" s="496" t="s">
        <v>404</v>
      </c>
      <c r="C688" s="496" t="s">
        <v>1956</v>
      </c>
      <c r="D688" s="496" t="s">
        <v>1587</v>
      </c>
      <c r="E688" s="496">
        <f>'MCS Budget - Detailed'!N856</f>
        <v>50</v>
      </c>
    </row>
    <row r="689" spans="1:5" x14ac:dyDescent="0.2">
      <c r="A689" s="496" t="s">
        <v>2005</v>
      </c>
      <c r="B689" s="496" t="s">
        <v>404</v>
      </c>
      <c r="C689" s="496" t="s">
        <v>2675</v>
      </c>
      <c r="D689" s="496" t="s">
        <v>1587</v>
      </c>
      <c r="E689" s="496">
        <f>'MCS Budget - Detailed'!N857</f>
        <v>764</v>
      </c>
    </row>
    <row r="690" spans="1:5" x14ac:dyDescent="0.2">
      <c r="A690" s="494" t="s">
        <v>2005</v>
      </c>
      <c r="B690" s="496" t="s">
        <v>404</v>
      </c>
      <c r="C690" s="496" t="s">
        <v>1957</v>
      </c>
      <c r="D690" s="496" t="s">
        <v>1587</v>
      </c>
      <c r="E690" s="496">
        <f>'MCS Budget - Detailed'!N859</f>
        <v>166750</v>
      </c>
    </row>
    <row r="691" spans="1:5" x14ac:dyDescent="0.2">
      <c r="A691" s="496" t="s">
        <v>2005</v>
      </c>
      <c r="B691" s="496" t="s">
        <v>404</v>
      </c>
      <c r="C691" s="496" t="s">
        <v>1958</v>
      </c>
      <c r="D691" s="496" t="s">
        <v>1609</v>
      </c>
      <c r="E691" s="496">
        <f>'MCS Budget - Detailed'!N872</f>
        <v>49075</v>
      </c>
    </row>
    <row r="692" spans="1:5" x14ac:dyDescent="0.2">
      <c r="A692" s="496" t="s">
        <v>2005</v>
      </c>
      <c r="B692" s="496" t="s">
        <v>404</v>
      </c>
      <c r="C692" s="496" t="s">
        <v>2163</v>
      </c>
      <c r="D692" s="496" t="s">
        <v>1609</v>
      </c>
      <c r="E692" s="496">
        <f>'MCS Budget - Detailed'!N873</f>
        <v>23561</v>
      </c>
    </row>
    <row r="693" spans="1:5" x14ac:dyDescent="0.2">
      <c r="A693" s="494" t="s">
        <v>2005</v>
      </c>
      <c r="B693" s="496" t="s">
        <v>404</v>
      </c>
      <c r="C693" s="496" t="s">
        <v>1959</v>
      </c>
      <c r="D693" s="496" t="s">
        <v>1609</v>
      </c>
      <c r="E693" s="496">
        <f>'MCS Budget - Detailed'!N874</f>
        <v>2450</v>
      </c>
    </row>
    <row r="694" spans="1:5" x14ac:dyDescent="0.2">
      <c r="A694" s="494" t="s">
        <v>2005</v>
      </c>
      <c r="B694" s="496" t="s">
        <v>404</v>
      </c>
      <c r="C694" s="496" t="s">
        <v>2164</v>
      </c>
      <c r="D694" s="496" t="s">
        <v>1609</v>
      </c>
      <c r="E694" s="496">
        <f>'MCS Budget - Detailed'!N875</f>
        <v>900</v>
      </c>
    </row>
    <row r="695" spans="1:5" x14ac:dyDescent="0.2">
      <c r="A695" s="494" t="s">
        <v>2005</v>
      </c>
      <c r="B695" s="496" t="s">
        <v>404</v>
      </c>
      <c r="C695" s="496" t="s">
        <v>2165</v>
      </c>
      <c r="D695" s="496" t="s">
        <v>1609</v>
      </c>
      <c r="E695" s="496">
        <f>'MCS Budget - Detailed'!N876</f>
        <v>2000</v>
      </c>
    </row>
    <row r="696" spans="1:5" x14ac:dyDescent="0.2">
      <c r="A696" s="496" t="s">
        <v>2005</v>
      </c>
      <c r="B696" s="496" t="s">
        <v>404</v>
      </c>
      <c r="C696" s="496" t="s">
        <v>2166</v>
      </c>
      <c r="D696" s="496" t="s">
        <v>1609</v>
      </c>
      <c r="E696" s="496">
        <f>'MCS Budget - Detailed'!N877</f>
        <v>77</v>
      </c>
    </row>
    <row r="697" spans="1:5" x14ac:dyDescent="0.2">
      <c r="A697" s="496" t="s">
        <v>2005</v>
      </c>
      <c r="B697" s="496" t="s">
        <v>404</v>
      </c>
      <c r="C697" s="496" t="s">
        <v>2167</v>
      </c>
      <c r="D697" s="496" t="s">
        <v>1609</v>
      </c>
      <c r="E697" s="496">
        <f>'MCS Budget - Detailed'!N878</f>
        <v>80</v>
      </c>
    </row>
    <row r="698" spans="1:5" x14ac:dyDescent="0.2">
      <c r="A698" s="494" t="s">
        <v>2005</v>
      </c>
      <c r="B698" s="496" t="s">
        <v>404</v>
      </c>
      <c r="C698" s="496" t="s">
        <v>1960</v>
      </c>
      <c r="D698" s="496" t="s">
        <v>1609</v>
      </c>
      <c r="E698" s="496">
        <f>'MCS Budget - Detailed'!N879</f>
        <v>161</v>
      </c>
    </row>
    <row r="699" spans="1:5" x14ac:dyDescent="0.2">
      <c r="A699" s="494" t="s">
        <v>2005</v>
      </c>
      <c r="B699" s="496" t="s">
        <v>404</v>
      </c>
      <c r="C699" s="496" t="s">
        <v>2168</v>
      </c>
      <c r="D699" s="496" t="s">
        <v>1609</v>
      </c>
      <c r="E699" s="496">
        <f>'MCS Budget - Detailed'!N880</f>
        <v>74</v>
      </c>
    </row>
    <row r="700" spans="1:5" x14ac:dyDescent="0.2">
      <c r="A700" s="496" t="s">
        <v>2005</v>
      </c>
      <c r="B700" s="496" t="s">
        <v>404</v>
      </c>
      <c r="C700" s="496" t="s">
        <v>1961</v>
      </c>
      <c r="D700" s="496" t="s">
        <v>1609</v>
      </c>
      <c r="E700" s="496">
        <f>'MCS Budget - Detailed'!N881</f>
        <v>777</v>
      </c>
    </row>
    <row r="701" spans="1:5" x14ac:dyDescent="0.2">
      <c r="A701" s="496" t="s">
        <v>2005</v>
      </c>
      <c r="B701" s="496" t="s">
        <v>404</v>
      </c>
      <c r="C701" s="496" t="s">
        <v>2169</v>
      </c>
      <c r="D701" s="496" t="s">
        <v>1609</v>
      </c>
      <c r="E701" s="496">
        <f>'MCS Budget - Detailed'!N882</f>
        <v>355</v>
      </c>
    </row>
    <row r="702" spans="1:5" x14ac:dyDescent="0.2">
      <c r="A702" s="494" t="s">
        <v>2005</v>
      </c>
      <c r="B702" s="496" t="s">
        <v>404</v>
      </c>
      <c r="C702" s="496" t="s">
        <v>1962</v>
      </c>
      <c r="D702" s="496" t="s">
        <v>1609</v>
      </c>
      <c r="E702" s="496">
        <f>'MCS Budget - Detailed'!N883</f>
        <v>10920</v>
      </c>
    </row>
    <row r="703" spans="1:5" x14ac:dyDescent="0.2">
      <c r="A703" s="494" t="s">
        <v>2005</v>
      </c>
      <c r="B703" s="496" t="s">
        <v>404</v>
      </c>
      <c r="C703" s="496" t="s">
        <v>2170</v>
      </c>
      <c r="D703" s="496" t="s">
        <v>1609</v>
      </c>
      <c r="E703" s="496">
        <f>'MCS Budget - Detailed'!N884</f>
        <v>4990</v>
      </c>
    </row>
    <row r="704" spans="1:5" x14ac:dyDescent="0.2">
      <c r="A704" s="496" t="s">
        <v>2005</v>
      </c>
      <c r="B704" s="496" t="s">
        <v>404</v>
      </c>
      <c r="C704" s="496" t="s">
        <v>1963</v>
      </c>
      <c r="D704" s="496" t="s">
        <v>1609</v>
      </c>
      <c r="E704" s="496">
        <f>'MCS Budget - Detailed'!N885</f>
        <v>7754</v>
      </c>
    </row>
    <row r="705" spans="1:5" x14ac:dyDescent="0.2">
      <c r="A705" s="496" t="s">
        <v>2005</v>
      </c>
      <c r="B705" s="496" t="s">
        <v>404</v>
      </c>
      <c r="C705" s="496" t="s">
        <v>2171</v>
      </c>
      <c r="D705" s="496" t="s">
        <v>1609</v>
      </c>
      <c r="E705" s="496">
        <f>'MCS Budget - Detailed'!N886</f>
        <v>7359</v>
      </c>
    </row>
    <row r="706" spans="1:5" x14ac:dyDescent="0.2">
      <c r="A706" s="494" t="s">
        <v>2005</v>
      </c>
      <c r="B706" s="496" t="s">
        <v>404</v>
      </c>
      <c r="C706" s="496" t="s">
        <v>2455</v>
      </c>
      <c r="D706" s="496" t="s">
        <v>1609</v>
      </c>
      <c r="E706" s="496">
        <f>'MCS Budget - Detailed'!N887</f>
        <v>2500</v>
      </c>
    </row>
    <row r="707" spans="1:5" x14ac:dyDescent="0.2">
      <c r="A707" s="494" t="s">
        <v>2005</v>
      </c>
      <c r="B707" s="496" t="s">
        <v>404</v>
      </c>
      <c r="C707" s="496" t="s">
        <v>2456</v>
      </c>
      <c r="D707" s="496" t="s">
        <v>1609</v>
      </c>
      <c r="E707" s="496">
        <f>'MCS Budget - Detailed'!N888</f>
        <v>2500</v>
      </c>
    </row>
    <row r="708" spans="1:5" x14ac:dyDescent="0.2">
      <c r="A708" s="496" t="s">
        <v>2005</v>
      </c>
      <c r="B708" s="496" t="s">
        <v>404</v>
      </c>
      <c r="C708" s="496" t="s">
        <v>1964</v>
      </c>
      <c r="D708" s="496" t="s">
        <v>1609</v>
      </c>
      <c r="E708" s="496">
        <f>'MCS Budget - Detailed'!N889</f>
        <v>20245</v>
      </c>
    </row>
    <row r="709" spans="1:5" x14ac:dyDescent="0.2">
      <c r="A709" s="494" t="s">
        <v>2005</v>
      </c>
      <c r="B709" s="496" t="s">
        <v>404</v>
      </c>
      <c r="C709" s="496" t="s">
        <v>1965</v>
      </c>
      <c r="D709" s="496" t="s">
        <v>1609</v>
      </c>
      <c r="E709" s="496">
        <f>'MCS Budget - Detailed'!N890</f>
        <v>5000</v>
      </c>
    </row>
    <row r="710" spans="1:5" x14ac:dyDescent="0.2">
      <c r="A710" s="496" t="s">
        <v>2005</v>
      </c>
      <c r="B710" s="496" t="s">
        <v>404</v>
      </c>
      <c r="C710" s="496" t="s">
        <v>2173</v>
      </c>
      <c r="D710" s="496" t="s">
        <v>1609</v>
      </c>
      <c r="E710" s="496">
        <f>'MCS Budget - Detailed'!N892</f>
        <v>8500</v>
      </c>
    </row>
    <row r="711" spans="1:5" x14ac:dyDescent="0.2">
      <c r="A711" s="496" t="s">
        <v>2005</v>
      </c>
      <c r="B711" s="496" t="s">
        <v>404</v>
      </c>
      <c r="C711" s="496" t="s">
        <v>2174</v>
      </c>
      <c r="D711" s="496" t="s">
        <v>1609</v>
      </c>
      <c r="E711" s="496">
        <f>'MCS Budget - Detailed'!N893</f>
        <v>26</v>
      </c>
    </row>
    <row r="712" spans="1:5" x14ac:dyDescent="0.2">
      <c r="A712" s="496" t="s">
        <v>2005</v>
      </c>
      <c r="B712" s="496" t="s">
        <v>404</v>
      </c>
      <c r="C712" s="496" t="s">
        <v>2175</v>
      </c>
      <c r="D712" s="496" t="s">
        <v>1609</v>
      </c>
      <c r="E712" s="496">
        <f>'MCS Budget - Detailed'!N894</f>
        <v>124</v>
      </c>
    </row>
    <row r="713" spans="1:5" x14ac:dyDescent="0.2">
      <c r="A713" s="496" t="s">
        <v>2005</v>
      </c>
      <c r="B713" s="496" t="s">
        <v>404</v>
      </c>
      <c r="C713" s="496" t="s">
        <v>2176</v>
      </c>
      <c r="D713" s="496" t="s">
        <v>1609</v>
      </c>
      <c r="E713" s="496">
        <f>'MCS Budget - Detailed'!N895</f>
        <v>1734</v>
      </c>
    </row>
    <row r="714" spans="1:5" x14ac:dyDescent="0.2">
      <c r="A714" s="496" t="s">
        <v>2005</v>
      </c>
      <c r="B714" s="496" t="s">
        <v>404</v>
      </c>
      <c r="C714" s="496" t="s">
        <v>2177</v>
      </c>
      <c r="D714" s="496" t="s">
        <v>1609</v>
      </c>
      <c r="E714" s="496">
        <f>'MCS Budget - Detailed'!N896</f>
        <v>0</v>
      </c>
    </row>
    <row r="715" spans="1:5" x14ac:dyDescent="0.2">
      <c r="A715" s="496" t="s">
        <v>2005</v>
      </c>
      <c r="B715" s="496" t="s">
        <v>404</v>
      </c>
      <c r="C715" s="496" t="s">
        <v>2178</v>
      </c>
      <c r="D715" s="496" t="s">
        <v>1609</v>
      </c>
      <c r="E715" s="496">
        <f>'MCS Budget - Detailed'!N898</f>
        <v>3000</v>
      </c>
    </row>
    <row r="716" spans="1:5" x14ac:dyDescent="0.2">
      <c r="A716" s="494" t="s">
        <v>2005</v>
      </c>
      <c r="B716" s="496" t="s">
        <v>404</v>
      </c>
      <c r="C716" s="496" t="s">
        <v>2179</v>
      </c>
      <c r="D716" s="496" t="s">
        <v>1609</v>
      </c>
      <c r="E716" s="496">
        <f>'MCS Budget - Detailed'!N900</f>
        <v>8138</v>
      </c>
    </row>
    <row r="717" spans="1:5" x14ac:dyDescent="0.2">
      <c r="A717" s="494" t="s">
        <v>2005</v>
      </c>
      <c r="B717" s="496" t="s">
        <v>404</v>
      </c>
      <c r="C717" s="496" t="s">
        <v>2180</v>
      </c>
      <c r="D717" s="496" t="s">
        <v>1609</v>
      </c>
      <c r="E717" s="496">
        <f>'MCS Budget - Detailed'!N901</f>
        <v>12</v>
      </c>
    </row>
    <row r="718" spans="1:5" x14ac:dyDescent="0.2">
      <c r="A718" s="494" t="s">
        <v>2005</v>
      </c>
      <c r="B718" s="496" t="s">
        <v>404</v>
      </c>
      <c r="C718" s="496" t="s">
        <v>2181</v>
      </c>
      <c r="D718" s="496" t="s">
        <v>1609</v>
      </c>
      <c r="E718" s="496">
        <f>'MCS Budget - Detailed'!N902</f>
        <v>25</v>
      </c>
    </row>
    <row r="719" spans="1:5" x14ac:dyDescent="0.2">
      <c r="A719" s="494" t="s">
        <v>2005</v>
      </c>
      <c r="B719" s="496" t="s">
        <v>404</v>
      </c>
      <c r="C719" s="496" t="s">
        <v>2182</v>
      </c>
      <c r="D719" s="496" t="s">
        <v>1609</v>
      </c>
      <c r="E719" s="496">
        <f>'MCS Budget - Detailed'!N903</f>
        <v>118</v>
      </c>
    </row>
    <row r="720" spans="1:5" x14ac:dyDescent="0.2">
      <c r="A720" s="494" t="s">
        <v>2005</v>
      </c>
      <c r="B720" s="496" t="s">
        <v>404</v>
      </c>
      <c r="C720" s="496" t="s">
        <v>2183</v>
      </c>
      <c r="D720" s="496" t="s">
        <v>1609</v>
      </c>
      <c r="E720" s="496">
        <f>'MCS Budget - Detailed'!N904</f>
        <v>1661</v>
      </c>
    </row>
    <row r="721" spans="1:5" x14ac:dyDescent="0.2">
      <c r="A721" s="494" t="s">
        <v>2005</v>
      </c>
      <c r="B721" s="496" t="s">
        <v>404</v>
      </c>
      <c r="C721" s="496" t="s">
        <v>2184</v>
      </c>
      <c r="D721" s="496" t="s">
        <v>1609</v>
      </c>
      <c r="E721" s="496">
        <f>'MCS Budget - Detailed'!N905</f>
        <v>1150</v>
      </c>
    </row>
    <row r="722" spans="1:5" x14ac:dyDescent="0.2">
      <c r="A722" s="496" t="s">
        <v>2005</v>
      </c>
      <c r="B722" s="496" t="s">
        <v>404</v>
      </c>
      <c r="C722" s="496" t="s">
        <v>2172</v>
      </c>
      <c r="D722" s="496" t="s">
        <v>1609</v>
      </c>
      <c r="E722" s="496">
        <f>'MCS Budget - Detailed'!N907</f>
        <v>8338</v>
      </c>
    </row>
    <row r="723" spans="1:5" x14ac:dyDescent="0.2">
      <c r="A723" s="494" t="s">
        <v>2005</v>
      </c>
      <c r="B723" s="496" t="s">
        <v>404</v>
      </c>
      <c r="C723" s="496" t="s">
        <v>2185</v>
      </c>
      <c r="D723" s="496" t="s">
        <v>1609</v>
      </c>
      <c r="E723" s="496">
        <f>'MCS Budget - Detailed'!N915</f>
        <v>2534</v>
      </c>
    </row>
    <row r="724" spans="1:5" x14ac:dyDescent="0.2">
      <c r="A724" s="496" t="s">
        <v>2005</v>
      </c>
      <c r="B724" s="496" t="s">
        <v>404</v>
      </c>
      <c r="C724" s="496" t="s">
        <v>1966</v>
      </c>
      <c r="D724" s="496" t="s">
        <v>1609</v>
      </c>
      <c r="E724" s="496">
        <f>'MCS Budget - Detailed'!N917</f>
        <v>25013</v>
      </c>
    </row>
    <row r="725" spans="1:5" x14ac:dyDescent="0.2">
      <c r="A725" s="494" t="s">
        <v>2005</v>
      </c>
      <c r="B725" s="496" t="s">
        <v>416</v>
      </c>
      <c r="C725" s="496" t="s">
        <v>2210</v>
      </c>
      <c r="D725" s="496" t="s">
        <v>1587</v>
      </c>
      <c r="E725" s="496">
        <f>'MCS Budget - Detailed'!N922</f>
        <v>21798</v>
      </c>
    </row>
    <row r="726" spans="1:5" x14ac:dyDescent="0.2">
      <c r="A726" s="494" t="s">
        <v>2005</v>
      </c>
      <c r="B726" s="496" t="s">
        <v>416</v>
      </c>
      <c r="C726" s="496" t="s">
        <v>1967</v>
      </c>
      <c r="D726" s="496" t="s">
        <v>1587</v>
      </c>
      <c r="E726" s="496">
        <f>'MCS Budget - Detailed'!N923</f>
        <v>40</v>
      </c>
    </row>
    <row r="727" spans="1:5" x14ac:dyDescent="0.2">
      <c r="A727" s="496" t="s">
        <v>2005</v>
      </c>
      <c r="B727" s="496" t="s">
        <v>416</v>
      </c>
      <c r="C727" s="496" t="s">
        <v>1968</v>
      </c>
      <c r="D727" s="496" t="s">
        <v>1587</v>
      </c>
      <c r="E727" s="496">
        <f>'MCS Budget - Detailed'!N924</f>
        <v>9000</v>
      </c>
    </row>
    <row r="728" spans="1:5" x14ac:dyDescent="0.2">
      <c r="A728" s="496" t="s">
        <v>2005</v>
      </c>
      <c r="B728" s="496" t="s">
        <v>416</v>
      </c>
      <c r="C728" s="496" t="s">
        <v>2676</v>
      </c>
      <c r="D728" s="496" t="s">
        <v>1587</v>
      </c>
      <c r="E728" s="496">
        <f>'MCS Budget - Detailed'!N925</f>
        <v>35</v>
      </c>
    </row>
    <row r="729" spans="1:5" x14ac:dyDescent="0.2">
      <c r="A729" s="494" t="s">
        <v>2005</v>
      </c>
      <c r="B729" s="496" t="s">
        <v>416</v>
      </c>
      <c r="C729" s="496" t="s">
        <v>1969</v>
      </c>
      <c r="D729" s="496" t="s">
        <v>1587</v>
      </c>
      <c r="E729" s="496">
        <f>'MCS Budget - Detailed'!N928</f>
        <v>600</v>
      </c>
    </row>
    <row r="730" spans="1:5" x14ac:dyDescent="0.2">
      <c r="A730" s="496" t="s">
        <v>2005</v>
      </c>
      <c r="B730" s="496" t="s">
        <v>416</v>
      </c>
      <c r="C730" s="496" t="s">
        <v>1970</v>
      </c>
      <c r="D730" s="496" t="s">
        <v>1587</v>
      </c>
      <c r="E730" s="496">
        <f>'MCS Budget - Detailed'!N929</f>
        <v>22000</v>
      </c>
    </row>
    <row r="731" spans="1:5" x14ac:dyDescent="0.2">
      <c r="A731" s="494" t="s">
        <v>2005</v>
      </c>
      <c r="B731" s="496" t="s">
        <v>416</v>
      </c>
      <c r="C731" s="496" t="s">
        <v>1971</v>
      </c>
      <c r="D731" s="496" t="s">
        <v>1587</v>
      </c>
      <c r="E731" s="496">
        <f>'MCS Budget - Detailed'!N930</f>
        <v>48000</v>
      </c>
    </row>
    <row r="732" spans="1:5" x14ac:dyDescent="0.2">
      <c r="A732" s="496" t="s">
        <v>2005</v>
      </c>
      <c r="B732" s="496" t="s">
        <v>416</v>
      </c>
      <c r="C732" s="496" t="s">
        <v>1972</v>
      </c>
      <c r="D732" s="496" t="s">
        <v>1587</v>
      </c>
      <c r="E732" s="496">
        <f>'MCS Budget - Detailed'!N931</f>
        <v>4524</v>
      </c>
    </row>
    <row r="733" spans="1:5" x14ac:dyDescent="0.2">
      <c r="A733" s="496" t="s">
        <v>2005</v>
      </c>
      <c r="B733" s="496" t="s">
        <v>416</v>
      </c>
      <c r="C733" s="496" t="s">
        <v>2186</v>
      </c>
      <c r="D733" s="496" t="s">
        <v>1587</v>
      </c>
      <c r="E733" s="496">
        <f>'MCS Budget - Detailed'!N932</f>
        <v>5300</v>
      </c>
    </row>
    <row r="734" spans="1:5" x14ac:dyDescent="0.2">
      <c r="A734" s="494" t="s">
        <v>2005</v>
      </c>
      <c r="B734" s="496" t="s">
        <v>416</v>
      </c>
      <c r="C734" s="496" t="s">
        <v>2268</v>
      </c>
      <c r="D734" s="496" t="s">
        <v>1587</v>
      </c>
      <c r="E734" s="496">
        <f>'MCS Budget - Detailed'!N933</f>
        <v>62000</v>
      </c>
    </row>
    <row r="735" spans="1:5" x14ac:dyDescent="0.2">
      <c r="A735" s="496" t="s">
        <v>2005</v>
      </c>
      <c r="B735" s="496" t="s">
        <v>416</v>
      </c>
      <c r="C735" s="496" t="s">
        <v>2187</v>
      </c>
      <c r="D735" s="496" t="s">
        <v>1609</v>
      </c>
      <c r="E735" s="496">
        <f>'MCS Budget - Detailed'!N937</f>
        <v>26500</v>
      </c>
    </row>
    <row r="736" spans="1:5" x14ac:dyDescent="0.2">
      <c r="A736" s="496" t="s">
        <v>2005</v>
      </c>
      <c r="B736" s="496" t="s">
        <v>416</v>
      </c>
      <c r="C736" s="496" t="s">
        <v>2188</v>
      </c>
      <c r="D736" s="496" t="s">
        <v>1609</v>
      </c>
      <c r="E736" s="496">
        <f>'MCS Budget - Detailed'!N938</f>
        <v>1400</v>
      </c>
    </row>
    <row r="737" spans="1:5" x14ac:dyDescent="0.2">
      <c r="A737" s="496" t="s">
        <v>2005</v>
      </c>
      <c r="B737" s="496" t="s">
        <v>416</v>
      </c>
      <c r="C737" s="496" t="s">
        <v>2189</v>
      </c>
      <c r="D737" s="496" t="s">
        <v>1609</v>
      </c>
      <c r="E737" s="496">
        <f>'MCS Budget - Detailed'!N939</f>
        <v>27880</v>
      </c>
    </row>
    <row r="738" spans="1:5" x14ac:dyDescent="0.2">
      <c r="A738" s="494" t="s">
        <v>2005</v>
      </c>
      <c r="B738" s="496" t="s">
        <v>416</v>
      </c>
      <c r="C738" s="496" t="s">
        <v>2190</v>
      </c>
      <c r="D738" s="496" t="s">
        <v>1609</v>
      </c>
      <c r="E738" s="496">
        <f>'MCS Budget - Detailed'!N940</f>
        <v>66</v>
      </c>
    </row>
    <row r="739" spans="1:5" x14ac:dyDescent="0.2">
      <c r="A739" s="494" t="s">
        <v>2005</v>
      </c>
      <c r="B739" s="496" t="s">
        <v>416</v>
      </c>
      <c r="C739" s="496" t="s">
        <v>2191</v>
      </c>
      <c r="D739" s="496" t="s">
        <v>1609</v>
      </c>
      <c r="E739" s="496">
        <f>'MCS Budget - Detailed'!N941</f>
        <v>66</v>
      </c>
    </row>
    <row r="740" spans="1:5" x14ac:dyDescent="0.2">
      <c r="A740" s="494" t="s">
        <v>2005</v>
      </c>
      <c r="B740" s="496" t="s">
        <v>416</v>
      </c>
      <c r="C740" s="496" t="s">
        <v>2192</v>
      </c>
      <c r="D740" s="496" t="s">
        <v>1609</v>
      </c>
      <c r="E740" s="496">
        <f>'MCS Budget - Detailed'!N942</f>
        <v>80</v>
      </c>
    </row>
    <row r="741" spans="1:5" x14ac:dyDescent="0.2">
      <c r="A741" s="494" t="s">
        <v>2005</v>
      </c>
      <c r="B741" s="496" t="s">
        <v>416</v>
      </c>
      <c r="C741" s="496" t="s">
        <v>2193</v>
      </c>
      <c r="D741" s="496" t="s">
        <v>1609</v>
      </c>
      <c r="E741" s="496">
        <f>'MCS Budget - Detailed'!N943</f>
        <v>5</v>
      </c>
    </row>
    <row r="742" spans="1:5" x14ac:dyDescent="0.2">
      <c r="A742" s="494" t="s">
        <v>2005</v>
      </c>
      <c r="B742" s="496" t="s">
        <v>416</v>
      </c>
      <c r="C742" s="496" t="s">
        <v>2194</v>
      </c>
      <c r="D742" s="496" t="s">
        <v>1609</v>
      </c>
      <c r="E742" s="496">
        <f>'MCS Budget - Detailed'!N944</f>
        <v>84</v>
      </c>
    </row>
    <row r="743" spans="1:5" x14ac:dyDescent="0.2">
      <c r="A743" s="494" t="s">
        <v>2005</v>
      </c>
      <c r="B743" s="496" t="s">
        <v>416</v>
      </c>
      <c r="C743" s="496" t="s">
        <v>2195</v>
      </c>
      <c r="D743" s="496" t="s">
        <v>1609</v>
      </c>
      <c r="E743" s="496">
        <f>'MCS Budget - Detailed'!N945</f>
        <v>385</v>
      </c>
    </row>
    <row r="744" spans="1:5" x14ac:dyDescent="0.2">
      <c r="A744" s="494" t="s">
        <v>2005</v>
      </c>
      <c r="B744" s="496" t="s">
        <v>416</v>
      </c>
      <c r="C744" s="496" t="s">
        <v>2196</v>
      </c>
      <c r="D744" s="496" t="s">
        <v>1609</v>
      </c>
      <c r="E744" s="496">
        <f>'MCS Budget - Detailed'!N946</f>
        <v>20</v>
      </c>
    </row>
    <row r="745" spans="1:5" x14ac:dyDescent="0.2">
      <c r="A745" s="494" t="s">
        <v>2005</v>
      </c>
      <c r="B745" s="496" t="s">
        <v>416</v>
      </c>
      <c r="C745" s="496" t="s">
        <v>2197</v>
      </c>
      <c r="D745" s="496" t="s">
        <v>1609</v>
      </c>
      <c r="E745" s="496">
        <f>'MCS Budget - Detailed'!N947</f>
        <v>405</v>
      </c>
    </row>
    <row r="746" spans="1:5" x14ac:dyDescent="0.2">
      <c r="A746" s="494" t="s">
        <v>2005</v>
      </c>
      <c r="B746" s="496" t="s">
        <v>416</v>
      </c>
      <c r="C746" s="496" t="s">
        <v>2198</v>
      </c>
      <c r="D746" s="496" t="s">
        <v>1609</v>
      </c>
      <c r="E746" s="496">
        <f>'MCS Budget - Detailed'!N948</f>
        <v>5406</v>
      </c>
    </row>
    <row r="747" spans="1:5" x14ac:dyDescent="0.2">
      <c r="A747" s="494" t="s">
        <v>2005</v>
      </c>
      <c r="B747" s="496" t="s">
        <v>416</v>
      </c>
      <c r="C747" s="496" t="s">
        <v>2199</v>
      </c>
      <c r="D747" s="496" t="s">
        <v>1609</v>
      </c>
      <c r="E747" s="496">
        <f>'MCS Budget - Detailed'!N949</f>
        <v>5688</v>
      </c>
    </row>
    <row r="748" spans="1:5" x14ac:dyDescent="0.2">
      <c r="A748" s="494" t="s">
        <v>2005</v>
      </c>
      <c r="B748" s="496" t="s">
        <v>416</v>
      </c>
      <c r="C748" s="496" t="s">
        <v>2200</v>
      </c>
      <c r="D748" s="496" t="s">
        <v>1609</v>
      </c>
      <c r="E748" s="496">
        <f>'MCS Budget - Detailed'!N950</f>
        <v>6132</v>
      </c>
    </row>
    <row r="749" spans="1:5" x14ac:dyDescent="0.2">
      <c r="A749" s="494" t="s">
        <v>2005</v>
      </c>
      <c r="B749" s="496" t="s">
        <v>416</v>
      </c>
      <c r="C749" s="496" t="s">
        <v>2201</v>
      </c>
      <c r="D749" s="496" t="s">
        <v>1609</v>
      </c>
      <c r="E749" s="496">
        <f>'MCS Budget - Detailed'!N951</f>
        <v>6132</v>
      </c>
    </row>
    <row r="750" spans="1:5" x14ac:dyDescent="0.2">
      <c r="A750" s="496" t="s">
        <v>2005</v>
      </c>
      <c r="B750" s="496" t="s">
        <v>416</v>
      </c>
      <c r="C750" s="496" t="s">
        <v>1973</v>
      </c>
      <c r="D750" s="496" t="s">
        <v>1609</v>
      </c>
      <c r="E750" s="496">
        <f>'MCS Budget - Detailed'!N952</f>
        <v>4000</v>
      </c>
    </row>
    <row r="751" spans="1:5" x14ac:dyDescent="0.2">
      <c r="A751" s="494" t="s">
        <v>2005</v>
      </c>
      <c r="B751" s="496" t="s">
        <v>416</v>
      </c>
      <c r="C751" s="496" t="s">
        <v>2202</v>
      </c>
      <c r="D751" s="496" t="s">
        <v>1609</v>
      </c>
      <c r="E751" s="496">
        <f>'MCS Budget - Detailed'!N953</f>
        <v>600</v>
      </c>
    </row>
    <row r="752" spans="1:5" x14ac:dyDescent="0.2">
      <c r="A752" s="494" t="s">
        <v>2005</v>
      </c>
      <c r="B752" s="496" t="s">
        <v>416</v>
      </c>
      <c r="C752" s="496" t="s">
        <v>1974</v>
      </c>
      <c r="D752" s="496" t="s">
        <v>1609</v>
      </c>
      <c r="E752" s="496">
        <f>'MCS Budget - Detailed'!N954</f>
        <v>1000</v>
      </c>
    </row>
    <row r="753" spans="1:5" x14ac:dyDescent="0.2">
      <c r="A753" s="496" t="s">
        <v>2005</v>
      </c>
      <c r="B753" s="496" t="s">
        <v>416</v>
      </c>
      <c r="C753" s="496" t="s">
        <v>1975</v>
      </c>
      <c r="D753" s="496" t="s">
        <v>1609</v>
      </c>
      <c r="E753" s="496">
        <f>'MCS Budget - Detailed'!N955</f>
        <v>3000</v>
      </c>
    </row>
    <row r="754" spans="1:5" x14ac:dyDescent="0.2">
      <c r="A754" s="496" t="s">
        <v>2005</v>
      </c>
      <c r="B754" s="496" t="s">
        <v>416</v>
      </c>
      <c r="C754" s="496" t="s">
        <v>2203</v>
      </c>
      <c r="D754" s="496" t="s">
        <v>1609</v>
      </c>
      <c r="E754" s="496">
        <f>'MCS Budget - Detailed'!N956</f>
        <v>75</v>
      </c>
    </row>
    <row r="755" spans="1:5" x14ac:dyDescent="0.2">
      <c r="A755" s="494" t="s">
        <v>2005</v>
      </c>
      <c r="B755" s="496" t="s">
        <v>416</v>
      </c>
      <c r="C755" s="496" t="s">
        <v>1976</v>
      </c>
      <c r="D755" s="496" t="s">
        <v>1609</v>
      </c>
      <c r="E755" s="496">
        <f>'MCS Budget - Detailed'!N957</f>
        <v>1000</v>
      </c>
    </row>
    <row r="756" spans="1:5" x14ac:dyDescent="0.2">
      <c r="A756" s="496" t="s">
        <v>2005</v>
      </c>
      <c r="B756" s="496" t="s">
        <v>416</v>
      </c>
      <c r="C756" s="496" t="s">
        <v>1977</v>
      </c>
      <c r="D756" s="496" t="s">
        <v>1609</v>
      </c>
      <c r="E756" s="496">
        <f>'MCS Budget - Detailed'!N958</f>
        <v>50000</v>
      </c>
    </row>
    <row r="757" spans="1:5" x14ac:dyDescent="0.2">
      <c r="A757" s="494" t="s">
        <v>2005</v>
      </c>
      <c r="B757" s="496" t="s">
        <v>416</v>
      </c>
      <c r="C757" s="496" t="s">
        <v>1978</v>
      </c>
      <c r="D757" s="496" t="s">
        <v>1609</v>
      </c>
      <c r="E757" s="496">
        <f>'MCS Budget - Detailed'!N959</f>
        <v>3024</v>
      </c>
    </row>
    <row r="758" spans="1:5" x14ac:dyDescent="0.2">
      <c r="A758" s="496" t="s">
        <v>2005</v>
      </c>
      <c r="B758" s="496" t="s">
        <v>416</v>
      </c>
      <c r="C758" s="496" t="s">
        <v>1979</v>
      </c>
      <c r="D758" s="496" t="s">
        <v>1609</v>
      </c>
      <c r="E758" s="496">
        <f>'MCS Budget - Detailed'!N960</f>
        <v>6500</v>
      </c>
    </row>
    <row r="759" spans="1:5" x14ac:dyDescent="0.2">
      <c r="A759" s="494" t="s">
        <v>2005</v>
      </c>
      <c r="B759" s="496" t="s">
        <v>416</v>
      </c>
      <c r="C759" s="496" t="s">
        <v>1980</v>
      </c>
      <c r="D759" s="496" t="s">
        <v>1609</v>
      </c>
      <c r="E759" s="496">
        <f>'MCS Budget - Detailed'!N961</f>
        <v>750</v>
      </c>
    </row>
    <row r="760" spans="1:5" x14ac:dyDescent="0.2">
      <c r="A760" s="496" t="s">
        <v>2005</v>
      </c>
      <c r="B760" s="496" t="s">
        <v>416</v>
      </c>
      <c r="C760" s="496" t="s">
        <v>1981</v>
      </c>
      <c r="D760" s="496" t="s">
        <v>1609</v>
      </c>
      <c r="E760" s="496">
        <f>'MCS Budget - Detailed'!N963</f>
        <v>3000</v>
      </c>
    </row>
    <row r="761" spans="1:5" x14ac:dyDescent="0.2">
      <c r="A761" s="494" t="s">
        <v>2005</v>
      </c>
      <c r="B761" s="496" t="s">
        <v>416</v>
      </c>
      <c r="C761" s="496" t="s">
        <v>2219</v>
      </c>
      <c r="D761" s="496" t="s">
        <v>1609</v>
      </c>
      <c r="E761" s="496">
        <f>'MCS Budget - Detailed'!N966</f>
        <v>20099</v>
      </c>
    </row>
    <row r="762" spans="1:5" x14ac:dyDescent="0.2">
      <c r="A762" s="496" t="s">
        <v>2005</v>
      </c>
      <c r="B762" s="496" t="s">
        <v>426</v>
      </c>
      <c r="C762" s="496" t="s">
        <v>2211</v>
      </c>
      <c r="D762" s="496" t="s">
        <v>1587</v>
      </c>
      <c r="E762" s="496">
        <f>'MCS Budget - Detailed'!N971</f>
        <v>458008</v>
      </c>
    </row>
    <row r="763" spans="1:5" x14ac:dyDescent="0.2">
      <c r="A763" s="494" t="s">
        <v>2005</v>
      </c>
      <c r="B763" s="496" t="s">
        <v>426</v>
      </c>
      <c r="C763" s="496" t="s">
        <v>2212</v>
      </c>
      <c r="D763" s="496" t="s">
        <v>1587</v>
      </c>
      <c r="E763" s="496">
        <f>'MCS Budget - Detailed'!N972</f>
        <v>114414</v>
      </c>
    </row>
    <row r="764" spans="1:5" x14ac:dyDescent="0.2">
      <c r="A764" s="496" t="s">
        <v>2005</v>
      </c>
      <c r="B764" s="496" t="s">
        <v>426</v>
      </c>
      <c r="C764" s="496" t="s">
        <v>1982</v>
      </c>
      <c r="D764" s="496" t="s">
        <v>1587</v>
      </c>
      <c r="E764" s="496">
        <f>'MCS Budget - Detailed'!N973</f>
        <v>340285</v>
      </c>
    </row>
    <row r="765" spans="1:5" x14ac:dyDescent="0.2">
      <c r="A765" s="494" t="s">
        <v>2005</v>
      </c>
      <c r="B765" s="496" t="s">
        <v>426</v>
      </c>
      <c r="C765" s="496" t="s">
        <v>1983</v>
      </c>
      <c r="D765" s="496" t="s">
        <v>1587</v>
      </c>
      <c r="E765" s="496">
        <f>'MCS Budget - Detailed'!N976</f>
        <v>53442</v>
      </c>
    </row>
    <row r="766" spans="1:5" x14ac:dyDescent="0.2">
      <c r="A766" s="496" t="s">
        <v>2005</v>
      </c>
      <c r="B766" s="496" t="s">
        <v>426</v>
      </c>
      <c r="C766" s="496" t="s">
        <v>2204</v>
      </c>
      <c r="D766" s="496" t="s">
        <v>1587</v>
      </c>
      <c r="E766" s="496">
        <f>'MCS Budget - Detailed'!N974</f>
        <v>3500</v>
      </c>
    </row>
    <row r="767" spans="1:5" x14ac:dyDescent="0.2">
      <c r="A767" s="494" t="s">
        <v>2005</v>
      </c>
      <c r="B767" s="496" t="s">
        <v>426</v>
      </c>
      <c r="C767" s="496" t="s">
        <v>2205</v>
      </c>
      <c r="D767" s="496" t="s">
        <v>1587</v>
      </c>
      <c r="E767" s="496">
        <f>'MCS Budget - Detailed'!N977</f>
        <v>250</v>
      </c>
    </row>
    <row r="768" spans="1:5" x14ac:dyDescent="0.2">
      <c r="A768" s="496" t="s">
        <v>2005</v>
      </c>
      <c r="B768" s="496" t="s">
        <v>426</v>
      </c>
      <c r="C768" s="496" t="s">
        <v>1984</v>
      </c>
      <c r="D768" s="496" t="s">
        <v>1587</v>
      </c>
      <c r="E768" s="496">
        <f>'MCS Budget - Detailed'!N975</f>
        <v>2500</v>
      </c>
    </row>
    <row r="769" spans="1:5" x14ac:dyDescent="0.2">
      <c r="A769" s="494" t="s">
        <v>2005</v>
      </c>
      <c r="B769" s="496" t="s">
        <v>426</v>
      </c>
      <c r="C769" s="496" t="s">
        <v>1985</v>
      </c>
      <c r="D769" s="496" t="s">
        <v>1587</v>
      </c>
      <c r="E769" s="496">
        <f>'MCS Budget - Detailed'!N978</f>
        <v>800</v>
      </c>
    </row>
    <row r="770" spans="1:5" x14ac:dyDescent="0.2">
      <c r="A770" s="496" t="s">
        <v>2005</v>
      </c>
      <c r="B770" s="496" t="s">
        <v>426</v>
      </c>
      <c r="C770" s="496" t="s">
        <v>1986</v>
      </c>
      <c r="D770" s="496" t="s">
        <v>1609</v>
      </c>
      <c r="E770" s="496">
        <f>'MCS Budget - Detailed'!N982</f>
        <v>1050</v>
      </c>
    </row>
    <row r="771" spans="1:5" x14ac:dyDescent="0.2">
      <c r="A771" s="494" t="s">
        <v>2005</v>
      </c>
      <c r="B771" s="496" t="s">
        <v>426</v>
      </c>
      <c r="C771" s="496" t="s">
        <v>1987</v>
      </c>
      <c r="D771" s="496" t="s">
        <v>1609</v>
      </c>
      <c r="E771" s="496">
        <f>'MCS Budget - Detailed'!N983</f>
        <v>152530</v>
      </c>
    </row>
    <row r="772" spans="1:5" x14ac:dyDescent="0.2">
      <c r="A772" s="496" t="s">
        <v>2005</v>
      </c>
      <c r="B772" s="496" t="s">
        <v>426</v>
      </c>
      <c r="C772" s="496" t="s">
        <v>1988</v>
      </c>
      <c r="D772" s="496" t="s">
        <v>1609</v>
      </c>
      <c r="E772" s="496">
        <f>'MCS Budget - Detailed'!N984</f>
        <v>183903</v>
      </c>
    </row>
    <row r="773" spans="1:5" x14ac:dyDescent="0.2">
      <c r="A773" s="494" t="s">
        <v>2005</v>
      </c>
      <c r="B773" s="496" t="s">
        <v>426</v>
      </c>
      <c r="C773" s="496" t="s">
        <v>1989</v>
      </c>
      <c r="D773" s="496" t="s">
        <v>1609</v>
      </c>
      <c r="E773" s="496">
        <f>'MCS Budget - Detailed'!N986</f>
        <v>466810</v>
      </c>
    </row>
    <row r="774" spans="1:5" x14ac:dyDescent="0.2">
      <c r="A774" s="496" t="s">
        <v>2005</v>
      </c>
      <c r="B774" s="496" t="s">
        <v>426</v>
      </c>
      <c r="C774" s="496" t="s">
        <v>1990</v>
      </c>
      <c r="D774" s="496" t="s">
        <v>1609</v>
      </c>
      <c r="E774" s="496">
        <f>'MCS Budget - Detailed'!N989</f>
        <v>1050</v>
      </c>
    </row>
    <row r="775" spans="1:5" x14ac:dyDescent="0.2">
      <c r="A775" s="494" t="s">
        <v>2005</v>
      </c>
      <c r="B775" s="496" t="s">
        <v>426</v>
      </c>
      <c r="C775" s="496" t="s">
        <v>1991</v>
      </c>
      <c r="D775" s="496" t="s">
        <v>1609</v>
      </c>
      <c r="E775" s="496">
        <f>'MCS Budget - Detailed'!N990</f>
        <v>17443</v>
      </c>
    </row>
    <row r="776" spans="1:5" x14ac:dyDescent="0.2">
      <c r="A776" s="496" t="s">
        <v>2005</v>
      </c>
      <c r="B776" s="496" t="s">
        <v>426</v>
      </c>
      <c r="C776" s="496" t="s">
        <v>1992</v>
      </c>
      <c r="D776" s="496" t="s">
        <v>1609</v>
      </c>
      <c r="E776" s="496">
        <f>'MCS Budget - Detailed'!N991</f>
        <v>35321</v>
      </c>
    </row>
    <row r="777" spans="1:5" x14ac:dyDescent="0.2">
      <c r="A777" s="494" t="s">
        <v>2005</v>
      </c>
      <c r="B777" s="496" t="s">
        <v>426</v>
      </c>
      <c r="C777" s="496" t="s">
        <v>1993</v>
      </c>
      <c r="D777" s="496" t="s">
        <v>1609</v>
      </c>
      <c r="E777" s="496">
        <f>'MCS Budget - Detailed'!N993</f>
        <v>115092</v>
      </c>
    </row>
    <row r="778" spans="1:5" x14ac:dyDescent="0.2">
      <c r="A778" s="496" t="s">
        <v>2005</v>
      </c>
      <c r="B778" s="496" t="s">
        <v>430</v>
      </c>
      <c r="C778" s="496" t="s">
        <v>2213</v>
      </c>
      <c r="D778" s="496" t="s">
        <v>1587</v>
      </c>
      <c r="E778" s="496">
        <f>'MCS Budget - Detailed'!N1006</f>
        <v>236826</v>
      </c>
    </row>
    <row r="779" spans="1:5" x14ac:dyDescent="0.2">
      <c r="A779" s="496" t="s">
        <v>2005</v>
      </c>
      <c r="B779" s="496" t="s">
        <v>430</v>
      </c>
      <c r="C779" s="496" t="s">
        <v>2206</v>
      </c>
      <c r="D779" s="496" t="s">
        <v>1587</v>
      </c>
      <c r="E779" s="496">
        <f>'MCS Budget - Detailed'!N1007</f>
        <v>40</v>
      </c>
    </row>
    <row r="780" spans="1:5" x14ac:dyDescent="0.2">
      <c r="A780" s="496" t="s">
        <v>2005</v>
      </c>
      <c r="B780" s="496" t="s">
        <v>430</v>
      </c>
      <c r="C780" s="496" t="s">
        <v>1994</v>
      </c>
      <c r="D780" s="496" t="s">
        <v>1587</v>
      </c>
      <c r="E780" s="496">
        <f>'MCS Budget - Detailed'!N1008</f>
        <v>3500</v>
      </c>
    </row>
    <row r="781" spans="1:5" x14ac:dyDescent="0.2">
      <c r="A781" s="494" t="s">
        <v>2005</v>
      </c>
      <c r="B781" s="496" t="s">
        <v>430</v>
      </c>
      <c r="C781" s="496" t="s">
        <v>1995</v>
      </c>
      <c r="D781" s="496" t="s">
        <v>1587</v>
      </c>
      <c r="E781" s="496">
        <f>'MCS Budget - Detailed'!N1009</f>
        <v>100000</v>
      </c>
    </row>
    <row r="782" spans="1:5" x14ac:dyDescent="0.2">
      <c r="A782" s="496" t="s">
        <v>2005</v>
      </c>
      <c r="B782" s="496" t="s">
        <v>430</v>
      </c>
      <c r="C782" s="496" t="s">
        <v>1996</v>
      </c>
      <c r="D782" s="496" t="s">
        <v>1609</v>
      </c>
      <c r="E782" s="496">
        <f>'MCS Budget - Detailed'!N1014</f>
        <v>30000</v>
      </c>
    </row>
    <row r="783" spans="1:5" x14ac:dyDescent="0.2">
      <c r="A783" s="494" t="s">
        <v>2005</v>
      </c>
      <c r="B783" s="496" t="s">
        <v>430</v>
      </c>
      <c r="C783" s="496" t="s">
        <v>2207</v>
      </c>
      <c r="D783" s="496" t="s">
        <v>1609</v>
      </c>
      <c r="E783" s="496">
        <f>'MCS Budget - Detailed'!N1015</f>
        <v>20000</v>
      </c>
    </row>
    <row r="784" spans="1:5" x14ac:dyDescent="0.2">
      <c r="A784" s="494" t="s">
        <v>2005</v>
      </c>
      <c r="B784" s="496" t="s">
        <v>430</v>
      </c>
      <c r="C784" s="496" t="s">
        <v>1997</v>
      </c>
      <c r="D784" s="496" t="s">
        <v>1609</v>
      </c>
      <c r="E784" s="496">
        <f>'MCS Budget - Detailed'!N1016</f>
        <v>35000</v>
      </c>
    </row>
    <row r="785" spans="1:5" x14ac:dyDescent="0.2">
      <c r="A785" s="496" t="s">
        <v>2005</v>
      </c>
      <c r="B785" s="496" t="s">
        <v>430</v>
      </c>
      <c r="C785" s="496" t="s">
        <v>2216</v>
      </c>
      <c r="D785" s="496" t="s">
        <v>1609</v>
      </c>
      <c r="E785" s="496">
        <f>'MCS Budget - Detailed'!N1021</f>
        <v>203336</v>
      </c>
    </row>
    <row r="786" spans="1:5" x14ac:dyDescent="0.2">
      <c r="A786" s="496" t="s">
        <v>2005</v>
      </c>
      <c r="B786" s="496" t="s">
        <v>430</v>
      </c>
      <c r="C786" s="496" t="s">
        <v>2217</v>
      </c>
      <c r="D786" s="496" t="s">
        <v>1609</v>
      </c>
      <c r="E786" s="496">
        <f>'MCS Budget - Detailed'!N1018+'MCS Budget - Detailed'!N1019</f>
        <v>52030</v>
      </c>
    </row>
    <row r="787" spans="1:5" x14ac:dyDescent="0.2">
      <c r="A787" s="494" t="s">
        <v>2005</v>
      </c>
      <c r="B787" s="496" t="s">
        <v>2335</v>
      </c>
      <c r="C787" s="496" t="s">
        <v>2679</v>
      </c>
      <c r="D787" s="496" t="s">
        <v>1587</v>
      </c>
      <c r="E787" s="496">
        <f>'MCS Budget - Detailed'!N1026</f>
        <v>22243</v>
      </c>
    </row>
    <row r="788" spans="1:5" x14ac:dyDescent="0.2">
      <c r="A788" s="494" t="s">
        <v>2005</v>
      </c>
      <c r="B788" s="496" t="s">
        <v>2335</v>
      </c>
      <c r="C788" s="496" t="s">
        <v>2680</v>
      </c>
      <c r="D788" s="496" t="s">
        <v>1587</v>
      </c>
      <c r="E788" s="496">
        <f>'MCS Budget - Detailed'!N1027</f>
        <v>80000</v>
      </c>
    </row>
    <row r="789" spans="1:5" x14ac:dyDescent="0.2">
      <c r="A789" s="496" t="s">
        <v>2005</v>
      </c>
      <c r="B789" s="496" t="s">
        <v>2335</v>
      </c>
      <c r="C789" s="496" t="s">
        <v>2681</v>
      </c>
      <c r="D789" s="496" t="s">
        <v>1609</v>
      </c>
      <c r="E789" s="496">
        <f>'MCS Budget - Detailed'!N1031</f>
        <v>102243</v>
      </c>
    </row>
    <row r="790" spans="1:5" x14ac:dyDescent="0.2">
      <c r="A790" s="494" t="s">
        <v>2005</v>
      </c>
      <c r="B790" s="496" t="s">
        <v>580</v>
      </c>
      <c r="C790" s="496" t="s">
        <v>2221</v>
      </c>
      <c r="D790" s="496" t="s">
        <v>1587</v>
      </c>
      <c r="E790" s="496">
        <f>'CCS Budget - Detailed'!H2</f>
        <v>826262</v>
      </c>
    </row>
    <row r="791" spans="1:5" x14ac:dyDescent="0.2">
      <c r="A791" s="494" t="s">
        <v>2005</v>
      </c>
      <c r="B791" s="496" t="s">
        <v>580</v>
      </c>
      <c r="C791" s="496" t="s">
        <v>753</v>
      </c>
      <c r="D791" s="496" t="s">
        <v>1587</v>
      </c>
      <c r="E791" s="496">
        <f>'CCS Budget - Detailed'!H4</f>
        <v>1848</v>
      </c>
    </row>
    <row r="792" spans="1:5" x14ac:dyDescent="0.2">
      <c r="A792" s="496" t="s">
        <v>2005</v>
      </c>
      <c r="B792" s="496" t="s">
        <v>580</v>
      </c>
      <c r="C792" s="496" t="s">
        <v>755</v>
      </c>
      <c r="D792" s="496" t="s">
        <v>1587</v>
      </c>
      <c r="E792" s="496">
        <f>'CCS Budget - Detailed'!H5</f>
        <v>5000</v>
      </c>
    </row>
    <row r="793" spans="1:5" x14ac:dyDescent="0.2">
      <c r="A793" s="496" t="s">
        <v>2005</v>
      </c>
      <c r="B793" s="496" t="s">
        <v>580</v>
      </c>
      <c r="C793" s="496" t="s">
        <v>768</v>
      </c>
      <c r="D793" s="496" t="s">
        <v>1587</v>
      </c>
      <c r="E793" s="496">
        <f>'CCS Budget - Detailed'!H6</f>
        <v>10389</v>
      </c>
    </row>
    <row r="794" spans="1:5" x14ac:dyDescent="0.2">
      <c r="A794" s="494" t="s">
        <v>2005</v>
      </c>
      <c r="B794" s="496" t="s">
        <v>580</v>
      </c>
      <c r="C794" s="496" t="s">
        <v>2468</v>
      </c>
      <c r="D794" s="496" t="s">
        <v>1587</v>
      </c>
      <c r="E794" s="496">
        <f>'CCS Budget - Detailed'!H9</f>
        <v>60000</v>
      </c>
    </row>
    <row r="795" spans="1:5" x14ac:dyDescent="0.2">
      <c r="A795" s="494" t="s">
        <v>2005</v>
      </c>
      <c r="B795" s="496" t="s">
        <v>580</v>
      </c>
      <c r="C795" s="496" t="s">
        <v>757</v>
      </c>
      <c r="D795" s="496" t="s">
        <v>1587</v>
      </c>
      <c r="E795" s="496">
        <f>'CCS Budget - Detailed'!H10</f>
        <v>9157</v>
      </c>
    </row>
    <row r="796" spans="1:5" x14ac:dyDescent="0.2">
      <c r="A796" s="496" t="s">
        <v>2005</v>
      </c>
      <c r="B796" s="496" t="s">
        <v>580</v>
      </c>
      <c r="C796" s="496" t="s">
        <v>759</v>
      </c>
      <c r="D796" s="496" t="s">
        <v>1587</v>
      </c>
      <c r="E796" s="496">
        <f>'CCS Budget - Detailed'!H11</f>
        <v>4800</v>
      </c>
    </row>
    <row r="797" spans="1:5" x14ac:dyDescent="0.2">
      <c r="A797" s="494" t="s">
        <v>2005</v>
      </c>
      <c r="B797" s="496" t="s">
        <v>580</v>
      </c>
      <c r="C797" s="496" t="s">
        <v>761</v>
      </c>
      <c r="D797" s="496" t="s">
        <v>1587</v>
      </c>
      <c r="E797" s="496">
        <f>'CCS Budget - Detailed'!H12</f>
        <v>5389</v>
      </c>
    </row>
    <row r="798" spans="1:5" x14ac:dyDescent="0.2">
      <c r="A798" s="496" t="s">
        <v>2005</v>
      </c>
      <c r="B798" s="496" t="s">
        <v>580</v>
      </c>
      <c r="C798" s="496" t="s">
        <v>2222</v>
      </c>
      <c r="D798" s="496" t="s">
        <v>1587</v>
      </c>
      <c r="E798" s="496">
        <f>'CCS Budget - Detailed'!H13</f>
        <v>30840</v>
      </c>
    </row>
    <row r="799" spans="1:5" x14ac:dyDescent="0.2">
      <c r="A799" s="496" t="s">
        <v>2005</v>
      </c>
      <c r="B799" s="496" t="s">
        <v>580</v>
      </c>
      <c r="C799" s="496" t="s">
        <v>2225</v>
      </c>
      <c r="D799" s="496" t="s">
        <v>1587</v>
      </c>
      <c r="E799" s="496">
        <f>'CCS Budget - Detailed'!H14</f>
        <v>2290</v>
      </c>
    </row>
    <row r="800" spans="1:5" x14ac:dyDescent="0.2">
      <c r="A800" s="496" t="s">
        <v>2005</v>
      </c>
      <c r="B800" s="496" t="s">
        <v>580</v>
      </c>
      <c r="C800" s="496" t="s">
        <v>2478</v>
      </c>
      <c r="D800" s="496" t="s">
        <v>1587</v>
      </c>
      <c r="E800" s="496">
        <f>'CCS Budget - Detailed'!H15</f>
        <v>1087</v>
      </c>
    </row>
    <row r="801" spans="1:5" x14ac:dyDescent="0.2">
      <c r="A801" s="496" t="s">
        <v>2005</v>
      </c>
      <c r="B801" s="496" t="s">
        <v>580</v>
      </c>
      <c r="C801" s="496" t="s">
        <v>2477</v>
      </c>
      <c r="D801" s="496" t="s">
        <v>1587</v>
      </c>
      <c r="E801" s="496">
        <f>'CCS Budget - Detailed'!H16</f>
        <v>926</v>
      </c>
    </row>
    <row r="802" spans="1:5" x14ac:dyDescent="0.2">
      <c r="A802" s="496" t="s">
        <v>2005</v>
      </c>
      <c r="B802" s="496" t="s">
        <v>580</v>
      </c>
      <c r="C802" s="496" t="s">
        <v>1398</v>
      </c>
      <c r="D802" s="496" t="s">
        <v>1587</v>
      </c>
      <c r="E802" s="496">
        <f>'CCS Budget - Detailed'!H17</f>
        <v>51541</v>
      </c>
    </row>
    <row r="803" spans="1:5" x14ac:dyDescent="0.2">
      <c r="A803" s="496" t="s">
        <v>2005</v>
      </c>
      <c r="B803" s="496" t="s">
        <v>580</v>
      </c>
      <c r="C803" s="496" t="s">
        <v>770</v>
      </c>
      <c r="D803" s="496" t="s">
        <v>1587</v>
      </c>
      <c r="E803" s="496">
        <f>'CCS Budget - Detailed'!H18</f>
        <v>4474</v>
      </c>
    </row>
    <row r="804" spans="1:5" x14ac:dyDescent="0.2">
      <c r="A804" s="496" t="s">
        <v>2005</v>
      </c>
      <c r="B804" s="496" t="s">
        <v>580</v>
      </c>
      <c r="C804" s="496" t="s">
        <v>1394</v>
      </c>
      <c r="D804" s="496" t="s">
        <v>1587</v>
      </c>
      <c r="E804" s="496">
        <f>'CCS Budget - Detailed'!H19</f>
        <v>20918</v>
      </c>
    </row>
    <row r="805" spans="1:5" x14ac:dyDescent="0.2">
      <c r="A805" s="496" t="s">
        <v>2005</v>
      </c>
      <c r="B805" s="496" t="s">
        <v>580</v>
      </c>
      <c r="C805" s="496" t="s">
        <v>2472</v>
      </c>
      <c r="D805" s="496" t="s">
        <v>1587</v>
      </c>
      <c r="E805" s="496">
        <f>'CCS Budget - Detailed'!H20</f>
        <v>995</v>
      </c>
    </row>
    <row r="806" spans="1:5" x14ac:dyDescent="0.2">
      <c r="A806" s="496" t="s">
        <v>2005</v>
      </c>
      <c r="B806" s="496" t="s">
        <v>580</v>
      </c>
      <c r="C806" s="496" t="s">
        <v>2470</v>
      </c>
      <c r="D806" s="496" t="s">
        <v>1587</v>
      </c>
      <c r="E806" s="496">
        <f>'CCS Budget - Detailed'!H21</f>
        <v>6546</v>
      </c>
    </row>
    <row r="807" spans="1:5" x14ac:dyDescent="0.2">
      <c r="A807" s="496" t="s">
        <v>2005</v>
      </c>
      <c r="B807" s="496" t="s">
        <v>580</v>
      </c>
      <c r="C807" s="496" t="s">
        <v>2474</v>
      </c>
      <c r="D807" s="496" t="s">
        <v>1587</v>
      </c>
      <c r="E807" s="496">
        <f>'CCS Budget - Detailed'!H22</f>
        <v>0</v>
      </c>
    </row>
    <row r="808" spans="1:5" x14ac:dyDescent="0.2">
      <c r="A808" s="496" t="s">
        <v>2005</v>
      </c>
      <c r="B808" s="496" t="s">
        <v>580</v>
      </c>
      <c r="C808" s="496" t="s">
        <v>1389</v>
      </c>
      <c r="D808" s="496" t="s">
        <v>1587</v>
      </c>
      <c r="E808" s="496">
        <f>'CCS Budget - Detailed'!H23</f>
        <v>31102</v>
      </c>
    </row>
    <row r="809" spans="1:5" x14ac:dyDescent="0.2">
      <c r="A809" s="494" t="s">
        <v>2005</v>
      </c>
      <c r="B809" s="496" t="s">
        <v>580</v>
      </c>
      <c r="C809" s="496" t="s">
        <v>1391</v>
      </c>
      <c r="D809" s="496" t="s">
        <v>1587</v>
      </c>
      <c r="E809" s="496">
        <f>'CCS Budget - Detailed'!H24</f>
        <v>4878</v>
      </c>
    </row>
    <row r="810" spans="1:5" x14ac:dyDescent="0.2">
      <c r="A810" s="494" t="s">
        <v>2005</v>
      </c>
      <c r="B810" s="496" t="s">
        <v>580</v>
      </c>
      <c r="C810" s="496" t="s">
        <v>2223</v>
      </c>
      <c r="D810" s="496" t="s">
        <v>1587</v>
      </c>
      <c r="E810" s="496">
        <f>'CCS Budget - Detailed'!H25</f>
        <v>3377</v>
      </c>
    </row>
    <row r="811" spans="1:5" x14ac:dyDescent="0.2">
      <c r="A811" s="494" t="s">
        <v>2005</v>
      </c>
      <c r="B811" s="496" t="s">
        <v>580</v>
      </c>
      <c r="C811" s="496" t="s">
        <v>1396</v>
      </c>
      <c r="D811" s="496" t="s">
        <v>1587</v>
      </c>
      <c r="E811" s="496">
        <f>'CCS Budget - Detailed'!H26</f>
        <v>74498</v>
      </c>
    </row>
    <row r="812" spans="1:5" x14ac:dyDescent="0.2">
      <c r="A812" s="494" t="s">
        <v>2005</v>
      </c>
      <c r="B812" s="496" t="s">
        <v>580</v>
      </c>
      <c r="C812" s="496" t="s">
        <v>2224</v>
      </c>
      <c r="D812" s="496" t="s">
        <v>1587</v>
      </c>
      <c r="E812" s="496">
        <f>'CCS Budget - Detailed'!H27</f>
        <v>4746</v>
      </c>
    </row>
    <row r="813" spans="1:5" x14ac:dyDescent="0.2">
      <c r="A813" s="496" t="s">
        <v>2005</v>
      </c>
      <c r="B813" s="496" t="s">
        <v>580</v>
      </c>
      <c r="C813" s="496" t="s">
        <v>2226</v>
      </c>
      <c r="D813" s="496" t="s">
        <v>1587</v>
      </c>
      <c r="E813" s="496">
        <f>-'CCS Budget - Detailed'!H34</f>
        <v>-168465</v>
      </c>
    </row>
    <row r="814" spans="1:5" x14ac:dyDescent="0.2">
      <c r="A814" s="496" t="s">
        <v>2005</v>
      </c>
      <c r="B814" s="496" t="s">
        <v>580</v>
      </c>
      <c r="C814" s="496" t="s">
        <v>764</v>
      </c>
      <c r="D814" s="496" t="s">
        <v>1587</v>
      </c>
      <c r="E814" s="496">
        <f>'CCS Budget - Detailed'!H28</f>
        <v>1247136</v>
      </c>
    </row>
    <row r="815" spans="1:5" x14ac:dyDescent="0.2">
      <c r="A815" s="494" t="s">
        <v>2005</v>
      </c>
      <c r="B815" s="496" t="s">
        <v>580</v>
      </c>
      <c r="C815" s="496" t="s">
        <v>776</v>
      </c>
      <c r="D815" s="496" t="s">
        <v>1609</v>
      </c>
      <c r="E815" s="496">
        <f>'CCS Budget - Detailed'!H38</f>
        <v>49741</v>
      </c>
    </row>
    <row r="816" spans="1:5" x14ac:dyDescent="0.2">
      <c r="A816" s="496" t="s">
        <v>2005</v>
      </c>
      <c r="B816" s="496" t="s">
        <v>580</v>
      </c>
      <c r="C816" s="496" t="s">
        <v>2227</v>
      </c>
      <c r="D816" s="496" t="s">
        <v>1609</v>
      </c>
      <c r="E816" s="496">
        <f>'CCS Budget - Detailed'!H40</f>
        <v>149</v>
      </c>
    </row>
    <row r="817" spans="1:5" x14ac:dyDescent="0.2">
      <c r="A817" s="494" t="s">
        <v>2005</v>
      </c>
      <c r="B817" s="496" t="s">
        <v>580</v>
      </c>
      <c r="C817" s="496" t="s">
        <v>778</v>
      </c>
      <c r="D817" s="496" t="s">
        <v>1609</v>
      </c>
      <c r="E817" s="496">
        <f>'CCS Budget - Detailed'!H41</f>
        <v>721</v>
      </c>
    </row>
    <row r="818" spans="1:5" x14ac:dyDescent="0.2">
      <c r="A818" s="496" t="s">
        <v>2005</v>
      </c>
      <c r="B818" s="496" t="s">
        <v>580</v>
      </c>
      <c r="C818" s="496" t="s">
        <v>779</v>
      </c>
      <c r="D818" s="496" t="s">
        <v>1609</v>
      </c>
      <c r="E818" s="496">
        <f>'CCS Budget - Detailed'!H42</f>
        <v>10147</v>
      </c>
    </row>
    <row r="819" spans="1:5" x14ac:dyDescent="0.2">
      <c r="A819" s="494" t="s">
        <v>2005</v>
      </c>
      <c r="B819" s="496" t="s">
        <v>580</v>
      </c>
      <c r="C819" s="496" t="s">
        <v>780</v>
      </c>
      <c r="D819" s="496" t="s">
        <v>1609</v>
      </c>
      <c r="E819" s="496">
        <f>'CCS Budget - Detailed'!H43</f>
        <v>6170</v>
      </c>
    </row>
    <row r="820" spans="1:5" x14ac:dyDescent="0.2">
      <c r="A820" s="496" t="s">
        <v>2005</v>
      </c>
      <c r="B820" s="496" t="s">
        <v>580</v>
      </c>
      <c r="C820" s="496" t="s">
        <v>782</v>
      </c>
      <c r="D820" s="496" t="s">
        <v>1609</v>
      </c>
      <c r="E820" s="496">
        <f>'CCS Budget - Detailed'!H44</f>
        <v>1200</v>
      </c>
    </row>
    <row r="821" spans="1:5" x14ac:dyDescent="0.2">
      <c r="A821" s="494" t="s">
        <v>2005</v>
      </c>
      <c r="B821" s="496" t="s">
        <v>580</v>
      </c>
      <c r="C821" s="496" t="s">
        <v>784</v>
      </c>
      <c r="D821" s="496" t="s">
        <v>1609</v>
      </c>
      <c r="E821" s="496">
        <f>'CCS Budget - Detailed'!H45</f>
        <v>750</v>
      </c>
    </row>
    <row r="822" spans="1:5" x14ac:dyDescent="0.2">
      <c r="A822" s="496" t="s">
        <v>2005</v>
      </c>
      <c r="B822" s="496" t="s">
        <v>580</v>
      </c>
      <c r="C822" s="496" t="s">
        <v>786</v>
      </c>
      <c r="D822" s="496" t="s">
        <v>1609</v>
      </c>
      <c r="E822" s="496">
        <f>'CCS Budget - Detailed'!H46</f>
        <v>250</v>
      </c>
    </row>
    <row r="823" spans="1:5" x14ac:dyDescent="0.2">
      <c r="A823" s="496" t="s">
        <v>2005</v>
      </c>
      <c r="B823" s="496" t="s">
        <v>580</v>
      </c>
      <c r="C823" s="496" t="s">
        <v>2481</v>
      </c>
      <c r="D823" s="496" t="s">
        <v>1609</v>
      </c>
      <c r="E823" s="496">
        <f>'CCS Budget - Detailed'!H47</f>
        <v>6546</v>
      </c>
    </row>
    <row r="824" spans="1:5" x14ac:dyDescent="0.2">
      <c r="A824" s="494" t="s">
        <v>2005</v>
      </c>
      <c r="B824" s="496" t="s">
        <v>580</v>
      </c>
      <c r="C824" s="496" t="s">
        <v>789</v>
      </c>
      <c r="D824" s="496" t="s">
        <v>1609</v>
      </c>
      <c r="E824" s="496">
        <f>'CCS Budget - Detailed'!H50</f>
        <v>38365</v>
      </c>
    </row>
    <row r="825" spans="1:5" x14ac:dyDescent="0.2">
      <c r="A825" s="496" t="s">
        <v>2005</v>
      </c>
      <c r="B825" s="496" t="s">
        <v>580</v>
      </c>
      <c r="C825" s="496" t="s">
        <v>2228</v>
      </c>
      <c r="D825" s="496" t="s">
        <v>1609</v>
      </c>
      <c r="E825" s="496">
        <f>'CCS Budget - Detailed'!H51</f>
        <v>115</v>
      </c>
    </row>
    <row r="826" spans="1:5" x14ac:dyDescent="0.2">
      <c r="A826" s="494" t="s">
        <v>2005</v>
      </c>
      <c r="B826" s="496" t="s">
        <v>580</v>
      </c>
      <c r="C826" s="496" t="s">
        <v>791</v>
      </c>
      <c r="D826" s="496" t="s">
        <v>1609</v>
      </c>
      <c r="E826" s="496">
        <f>'CCS Budget - Detailed'!H52</f>
        <v>556</v>
      </c>
    </row>
    <row r="827" spans="1:5" x14ac:dyDescent="0.2">
      <c r="A827" s="496" t="s">
        <v>2005</v>
      </c>
      <c r="B827" s="496" t="s">
        <v>580</v>
      </c>
      <c r="C827" s="496" t="s">
        <v>792</v>
      </c>
      <c r="D827" s="496" t="s">
        <v>1609</v>
      </c>
      <c r="E827" s="496">
        <f>'CCS Budget - Detailed'!H53</f>
        <v>7826</v>
      </c>
    </row>
    <row r="828" spans="1:5" x14ac:dyDescent="0.2">
      <c r="A828" s="494" t="s">
        <v>2005</v>
      </c>
      <c r="B828" s="496" t="s">
        <v>580</v>
      </c>
      <c r="C828" s="496" t="s">
        <v>793</v>
      </c>
      <c r="D828" s="496" t="s">
        <v>1609</v>
      </c>
      <c r="E828" s="496">
        <f>'CCS Budget - Detailed'!H54</f>
        <v>6170</v>
      </c>
    </row>
    <row r="829" spans="1:5" x14ac:dyDescent="0.2">
      <c r="A829" s="496" t="s">
        <v>2005</v>
      </c>
      <c r="B829" s="496" t="s">
        <v>580</v>
      </c>
      <c r="C829" s="496" t="s">
        <v>794</v>
      </c>
      <c r="D829" s="496" t="s">
        <v>1609</v>
      </c>
      <c r="E829" s="496">
        <f>'CCS Budget - Detailed'!H55</f>
        <v>2000</v>
      </c>
    </row>
    <row r="830" spans="1:5" x14ac:dyDescent="0.2">
      <c r="A830" s="494" t="s">
        <v>2005</v>
      </c>
      <c r="B830" s="496" t="s">
        <v>580</v>
      </c>
      <c r="C830" s="496" t="s">
        <v>795</v>
      </c>
      <c r="D830" s="496" t="s">
        <v>1609</v>
      </c>
      <c r="E830" s="496">
        <f>'CCS Budget - Detailed'!H56</f>
        <v>750</v>
      </c>
    </row>
    <row r="831" spans="1:5" x14ac:dyDescent="0.2">
      <c r="A831" s="496" t="s">
        <v>2005</v>
      </c>
      <c r="B831" s="496" t="s">
        <v>580</v>
      </c>
      <c r="C831" s="496" t="s">
        <v>796</v>
      </c>
      <c r="D831" s="496" t="s">
        <v>1609</v>
      </c>
      <c r="E831" s="496">
        <f>'CCS Budget - Detailed'!H57</f>
        <v>250</v>
      </c>
    </row>
    <row r="832" spans="1:5" x14ac:dyDescent="0.2">
      <c r="A832" s="494" t="s">
        <v>2005</v>
      </c>
      <c r="B832" s="496" t="s">
        <v>580</v>
      </c>
      <c r="C832" s="496" t="s">
        <v>798</v>
      </c>
      <c r="D832" s="496" t="s">
        <v>1609</v>
      </c>
      <c r="E832" s="496">
        <f>'CCS Budget - Detailed'!H60</f>
        <v>33309</v>
      </c>
    </row>
    <row r="833" spans="1:5" x14ac:dyDescent="0.2">
      <c r="A833" s="496" t="s">
        <v>2005</v>
      </c>
      <c r="B833" s="496" t="s">
        <v>580</v>
      </c>
      <c r="C833" s="496" t="s">
        <v>2229</v>
      </c>
      <c r="D833" s="496" t="s">
        <v>1609</v>
      </c>
      <c r="E833" s="496">
        <f>'CCS Budget - Detailed'!H61</f>
        <v>100</v>
      </c>
    </row>
    <row r="834" spans="1:5" x14ac:dyDescent="0.2">
      <c r="A834" s="494" t="s">
        <v>2005</v>
      </c>
      <c r="B834" s="496" t="s">
        <v>580</v>
      </c>
      <c r="C834" s="496" t="s">
        <v>800</v>
      </c>
      <c r="D834" s="496" t="s">
        <v>1609</v>
      </c>
      <c r="E834" s="496">
        <f>'CCS Budget - Detailed'!H62</f>
        <v>483</v>
      </c>
    </row>
    <row r="835" spans="1:5" x14ac:dyDescent="0.2">
      <c r="A835" s="496" t="s">
        <v>2005</v>
      </c>
      <c r="B835" s="496" t="s">
        <v>580</v>
      </c>
      <c r="C835" s="496" t="s">
        <v>801</v>
      </c>
      <c r="D835" s="496" t="s">
        <v>1609</v>
      </c>
      <c r="E835" s="496">
        <f>'CCS Budget - Detailed'!H63</f>
        <v>6795</v>
      </c>
    </row>
    <row r="836" spans="1:5" x14ac:dyDescent="0.2">
      <c r="A836" s="494" t="s">
        <v>2005</v>
      </c>
      <c r="B836" s="496" t="s">
        <v>580</v>
      </c>
      <c r="C836" s="496" t="s">
        <v>2230</v>
      </c>
      <c r="D836" s="496" t="s">
        <v>1609</v>
      </c>
      <c r="E836" s="496">
        <f>'CCS Budget - Detailed'!H64</f>
        <v>6170</v>
      </c>
    </row>
    <row r="837" spans="1:5" x14ac:dyDescent="0.2">
      <c r="A837" s="496" t="s">
        <v>2005</v>
      </c>
      <c r="B837" s="496" t="s">
        <v>580</v>
      </c>
      <c r="C837" s="496" t="s">
        <v>804</v>
      </c>
      <c r="D837" s="496" t="s">
        <v>1609</v>
      </c>
      <c r="E837" s="496">
        <f>'CCS Budget - Detailed'!H65</f>
        <v>11000</v>
      </c>
    </row>
    <row r="838" spans="1:5" x14ac:dyDescent="0.2">
      <c r="A838" s="494" t="s">
        <v>2005</v>
      </c>
      <c r="B838" s="496" t="s">
        <v>580</v>
      </c>
      <c r="C838" s="496" t="s">
        <v>805</v>
      </c>
      <c r="D838" s="496" t="s">
        <v>1609</v>
      </c>
      <c r="E838" s="496">
        <f>'CCS Budget - Detailed'!H66</f>
        <v>750</v>
      </c>
    </row>
    <row r="839" spans="1:5" x14ac:dyDescent="0.2">
      <c r="A839" s="496" t="s">
        <v>2005</v>
      </c>
      <c r="B839" s="496" t="s">
        <v>580</v>
      </c>
      <c r="C839" s="496" t="s">
        <v>807</v>
      </c>
      <c r="D839" s="496" t="s">
        <v>1609</v>
      </c>
      <c r="E839" s="496">
        <f>'CCS Budget - Detailed'!H67</f>
        <v>500</v>
      </c>
    </row>
    <row r="840" spans="1:5" x14ac:dyDescent="0.2">
      <c r="A840" s="494" t="s">
        <v>2005</v>
      </c>
      <c r="B840" s="496" t="s">
        <v>580</v>
      </c>
      <c r="C840" s="496" t="s">
        <v>809</v>
      </c>
      <c r="D840" s="496" t="s">
        <v>1609</v>
      </c>
      <c r="E840" s="496">
        <f>'CCS Budget - Detailed'!H70</f>
        <v>43720</v>
      </c>
    </row>
    <row r="841" spans="1:5" x14ac:dyDescent="0.2">
      <c r="A841" s="496" t="s">
        <v>2005</v>
      </c>
      <c r="B841" s="496" t="s">
        <v>580</v>
      </c>
      <c r="C841" s="496" t="s">
        <v>2231</v>
      </c>
      <c r="D841" s="496" t="s">
        <v>1609</v>
      </c>
      <c r="E841" s="496">
        <f>'CCS Budget - Detailed'!H71</f>
        <v>131</v>
      </c>
    </row>
    <row r="842" spans="1:5" x14ac:dyDescent="0.2">
      <c r="A842" s="494" t="s">
        <v>2005</v>
      </c>
      <c r="B842" s="496" t="s">
        <v>580</v>
      </c>
      <c r="C842" s="496" t="s">
        <v>811</v>
      </c>
      <c r="D842" s="496" t="s">
        <v>1609</v>
      </c>
      <c r="E842" s="496">
        <f>'CCS Budget - Detailed'!H72</f>
        <v>634</v>
      </c>
    </row>
    <row r="843" spans="1:5" x14ac:dyDescent="0.2">
      <c r="A843" s="496" t="s">
        <v>2005</v>
      </c>
      <c r="B843" s="496" t="s">
        <v>580</v>
      </c>
      <c r="C843" s="496" t="s">
        <v>812</v>
      </c>
      <c r="D843" s="496" t="s">
        <v>1609</v>
      </c>
      <c r="E843" s="496">
        <f>'CCS Budget - Detailed'!H73</f>
        <v>8919</v>
      </c>
    </row>
    <row r="844" spans="1:5" x14ac:dyDescent="0.2">
      <c r="A844" s="494" t="s">
        <v>2005</v>
      </c>
      <c r="B844" s="496" t="s">
        <v>580</v>
      </c>
      <c r="C844" s="496" t="s">
        <v>813</v>
      </c>
      <c r="D844" s="496" t="s">
        <v>1609</v>
      </c>
      <c r="E844" s="496">
        <f>'CCS Budget - Detailed'!H74</f>
        <v>6170</v>
      </c>
    </row>
    <row r="845" spans="1:5" x14ac:dyDescent="0.2">
      <c r="A845" s="496" t="s">
        <v>2005</v>
      </c>
      <c r="B845" s="496" t="s">
        <v>580</v>
      </c>
      <c r="C845" s="496" t="s">
        <v>814</v>
      </c>
      <c r="D845" s="496" t="s">
        <v>1609</v>
      </c>
      <c r="E845" s="496">
        <f>'CCS Budget - Detailed'!H75</f>
        <v>2700</v>
      </c>
    </row>
    <row r="846" spans="1:5" x14ac:dyDescent="0.2">
      <c r="A846" s="494" t="s">
        <v>2005</v>
      </c>
      <c r="B846" s="496" t="s">
        <v>580</v>
      </c>
      <c r="C846" s="496" t="s">
        <v>815</v>
      </c>
      <c r="D846" s="496" t="s">
        <v>1609</v>
      </c>
      <c r="E846" s="496">
        <f>'CCS Budget - Detailed'!H76</f>
        <v>750</v>
      </c>
    </row>
    <row r="847" spans="1:5" x14ac:dyDescent="0.2">
      <c r="A847" s="496" t="s">
        <v>2005</v>
      </c>
      <c r="B847" s="496" t="s">
        <v>580</v>
      </c>
      <c r="C847" s="496" t="s">
        <v>816</v>
      </c>
      <c r="D847" s="496" t="s">
        <v>1609</v>
      </c>
      <c r="E847" s="496">
        <f>'CCS Budget - Detailed'!H77</f>
        <v>250</v>
      </c>
    </row>
    <row r="848" spans="1:5" x14ac:dyDescent="0.2">
      <c r="A848" s="496" t="s">
        <v>2005</v>
      </c>
      <c r="B848" s="496" t="s">
        <v>580</v>
      </c>
      <c r="C848" s="496" t="s">
        <v>2269</v>
      </c>
      <c r="D848" s="496" t="s">
        <v>1609</v>
      </c>
      <c r="E848" s="496">
        <f>'CCS Budget - Detailed'!H84</f>
        <v>4474</v>
      </c>
    </row>
    <row r="849" spans="1:5" x14ac:dyDescent="0.2">
      <c r="A849" s="494" t="s">
        <v>2005</v>
      </c>
      <c r="B849" s="496" t="s">
        <v>580</v>
      </c>
      <c r="C849" s="496" t="s">
        <v>818</v>
      </c>
      <c r="D849" s="496" t="s">
        <v>1609</v>
      </c>
      <c r="E849" s="496">
        <f>'CCS Budget - Detailed'!H87</f>
        <v>49109</v>
      </c>
    </row>
    <row r="850" spans="1:5" x14ac:dyDescent="0.2">
      <c r="A850" s="496" t="s">
        <v>2005</v>
      </c>
      <c r="B850" s="496" t="s">
        <v>580</v>
      </c>
      <c r="C850" s="496" t="s">
        <v>2232</v>
      </c>
      <c r="D850" s="496" t="s">
        <v>1609</v>
      </c>
      <c r="E850" s="496">
        <f>'CCS Budget - Detailed'!H88</f>
        <v>147</v>
      </c>
    </row>
    <row r="851" spans="1:5" x14ac:dyDescent="0.2">
      <c r="A851" s="494" t="s">
        <v>2005</v>
      </c>
      <c r="B851" s="496" t="s">
        <v>580</v>
      </c>
      <c r="C851" s="496" t="s">
        <v>820</v>
      </c>
      <c r="D851" s="496" t="s">
        <v>1609</v>
      </c>
      <c r="E851" s="496">
        <f>'CCS Budget - Detailed'!H89</f>
        <v>712</v>
      </c>
    </row>
    <row r="852" spans="1:5" x14ac:dyDescent="0.2">
      <c r="A852" s="496" t="s">
        <v>2005</v>
      </c>
      <c r="B852" s="496" t="s">
        <v>580</v>
      </c>
      <c r="C852" s="496" t="s">
        <v>821</v>
      </c>
      <c r="D852" s="496" t="s">
        <v>1609</v>
      </c>
      <c r="E852" s="496">
        <f>'CCS Budget - Detailed'!H90</f>
        <v>10018</v>
      </c>
    </row>
    <row r="853" spans="1:5" x14ac:dyDescent="0.2">
      <c r="A853" s="494" t="s">
        <v>2005</v>
      </c>
      <c r="B853" s="496" t="s">
        <v>580</v>
      </c>
      <c r="C853" s="496" t="s">
        <v>2233</v>
      </c>
      <c r="D853" s="496" t="s">
        <v>1609</v>
      </c>
      <c r="E853" s="496">
        <f>'CCS Budget - Detailed'!H91</f>
        <v>6170</v>
      </c>
    </row>
    <row r="854" spans="1:5" x14ac:dyDescent="0.2">
      <c r="A854" s="496" t="s">
        <v>2005</v>
      </c>
      <c r="B854" s="496" t="s">
        <v>580</v>
      </c>
      <c r="C854" s="496" t="s">
        <v>827</v>
      </c>
      <c r="D854" s="496" t="s">
        <v>1609</v>
      </c>
      <c r="E854" s="496">
        <f>'CCS Budget - Detailed'!H97</f>
        <v>37101</v>
      </c>
    </row>
    <row r="855" spans="1:5" x14ac:dyDescent="0.2">
      <c r="A855" s="494" t="s">
        <v>2005</v>
      </c>
      <c r="B855" s="496" t="s">
        <v>580</v>
      </c>
      <c r="C855" s="496" t="s">
        <v>2234</v>
      </c>
      <c r="D855" s="496" t="s">
        <v>1609</v>
      </c>
      <c r="E855" s="496">
        <f>'CCS Budget - Detailed'!H98</f>
        <v>111</v>
      </c>
    </row>
    <row r="856" spans="1:5" x14ac:dyDescent="0.2">
      <c r="A856" s="496" t="s">
        <v>2005</v>
      </c>
      <c r="B856" s="496" t="s">
        <v>580</v>
      </c>
      <c r="C856" s="496" t="s">
        <v>829</v>
      </c>
      <c r="D856" s="496" t="s">
        <v>1609</v>
      </c>
      <c r="E856" s="496">
        <f>'CCS Budget - Detailed'!H99</f>
        <v>538</v>
      </c>
    </row>
    <row r="857" spans="1:5" x14ac:dyDescent="0.2">
      <c r="A857" s="494" t="s">
        <v>2005</v>
      </c>
      <c r="B857" s="496" t="s">
        <v>580</v>
      </c>
      <c r="C857" s="496" t="s">
        <v>830</v>
      </c>
      <c r="D857" s="496" t="s">
        <v>1609</v>
      </c>
      <c r="E857" s="496">
        <f>'CCS Budget - Detailed'!H100</f>
        <v>7569</v>
      </c>
    </row>
    <row r="858" spans="1:5" x14ac:dyDescent="0.2">
      <c r="A858" s="496" t="s">
        <v>2005</v>
      </c>
      <c r="B858" s="496" t="s">
        <v>580</v>
      </c>
      <c r="C858" s="496" t="s">
        <v>2235</v>
      </c>
      <c r="D858" s="496" t="s">
        <v>1609</v>
      </c>
      <c r="E858" s="496">
        <f>'CCS Budget - Detailed'!H101</f>
        <v>6170</v>
      </c>
    </row>
    <row r="859" spans="1:5" x14ac:dyDescent="0.2">
      <c r="A859" s="494" t="s">
        <v>2005</v>
      </c>
      <c r="B859" s="496" t="s">
        <v>580</v>
      </c>
      <c r="C859" s="496" t="s">
        <v>1399</v>
      </c>
      <c r="D859" s="496" t="s">
        <v>1609</v>
      </c>
      <c r="E859" s="496">
        <f>'CCS Budget - Detailed'!H102</f>
        <v>6000</v>
      </c>
    </row>
    <row r="860" spans="1:5" x14ac:dyDescent="0.2">
      <c r="A860" s="494" t="s">
        <v>2005</v>
      </c>
      <c r="B860" s="496" t="s">
        <v>580</v>
      </c>
      <c r="C860" s="496" t="s">
        <v>832</v>
      </c>
      <c r="D860" s="496" t="s">
        <v>1609</v>
      </c>
      <c r="E860" s="496">
        <f>'CCS Budget - Detailed'!H103</f>
        <v>27000</v>
      </c>
    </row>
    <row r="861" spans="1:5" x14ac:dyDescent="0.2">
      <c r="A861" s="496" t="s">
        <v>2005</v>
      </c>
      <c r="B861" s="496" t="s">
        <v>580</v>
      </c>
      <c r="C861" s="496" t="s">
        <v>833</v>
      </c>
      <c r="D861" s="496" t="s">
        <v>1609</v>
      </c>
      <c r="E861" s="496">
        <f>'CCS Budget - Detailed'!H104</f>
        <v>750</v>
      </c>
    </row>
    <row r="862" spans="1:5" x14ac:dyDescent="0.2">
      <c r="A862" s="494" t="s">
        <v>2005</v>
      </c>
      <c r="B862" s="496" t="s">
        <v>580</v>
      </c>
      <c r="C862" s="496" t="s">
        <v>835</v>
      </c>
      <c r="D862" s="496" t="s">
        <v>1609</v>
      </c>
      <c r="E862" s="496">
        <f>'CCS Budget - Detailed'!H105</f>
        <v>500</v>
      </c>
    </row>
    <row r="863" spans="1:5" x14ac:dyDescent="0.2">
      <c r="A863" s="496" t="s">
        <v>2005</v>
      </c>
      <c r="B863" s="496" t="s">
        <v>580</v>
      </c>
      <c r="C863" s="496" t="s">
        <v>837</v>
      </c>
      <c r="D863" s="496" t="s">
        <v>1609</v>
      </c>
      <c r="E863" s="496">
        <f>'CCS Budget - Detailed'!H108</f>
        <v>22500</v>
      </c>
    </row>
    <row r="864" spans="1:5" x14ac:dyDescent="0.2">
      <c r="A864" s="496" t="s">
        <v>2005</v>
      </c>
      <c r="B864" s="496" t="s">
        <v>580</v>
      </c>
      <c r="C864" s="496" t="s">
        <v>923</v>
      </c>
      <c r="D864" s="496" t="s">
        <v>1609</v>
      </c>
      <c r="E864" s="496">
        <f>'CCS Budget - Detailed'!H232</f>
        <v>10389</v>
      </c>
    </row>
    <row r="865" spans="1:5" x14ac:dyDescent="0.2">
      <c r="A865" s="494" t="s">
        <v>2005</v>
      </c>
      <c r="B865" s="496" t="s">
        <v>580</v>
      </c>
      <c r="C865" s="496" t="s">
        <v>2236</v>
      </c>
      <c r="D865" s="496" t="s">
        <v>1609</v>
      </c>
      <c r="E865" s="496">
        <f>'CCS Budget - Detailed'!H109</f>
        <v>68</v>
      </c>
    </row>
    <row r="866" spans="1:5" x14ac:dyDescent="0.2">
      <c r="A866" s="496" t="s">
        <v>2005</v>
      </c>
      <c r="B866" s="496" t="s">
        <v>580</v>
      </c>
      <c r="C866" s="496" t="s">
        <v>839</v>
      </c>
      <c r="D866" s="496" t="s">
        <v>1609</v>
      </c>
      <c r="E866" s="496">
        <f>'CCS Budget - Detailed'!H110</f>
        <v>326</v>
      </c>
    </row>
    <row r="867" spans="1:5" x14ac:dyDescent="0.2">
      <c r="A867" s="494" t="s">
        <v>2005</v>
      </c>
      <c r="B867" s="496" t="s">
        <v>580</v>
      </c>
      <c r="C867" s="496" t="s">
        <v>841</v>
      </c>
      <c r="D867" s="496" t="s">
        <v>1609</v>
      </c>
      <c r="E867" s="496">
        <f>'CCS Budget - Detailed'!H111</f>
        <v>4590</v>
      </c>
    </row>
    <row r="868" spans="1:5" x14ac:dyDescent="0.2">
      <c r="A868" s="494" t="s">
        <v>2005</v>
      </c>
      <c r="B868" s="496" t="s">
        <v>580</v>
      </c>
      <c r="C868" s="496" t="s">
        <v>2237</v>
      </c>
      <c r="D868" s="496" t="s">
        <v>1609</v>
      </c>
      <c r="E868" s="496">
        <f>'CCS Budget - Detailed'!H112</f>
        <v>0</v>
      </c>
    </row>
    <row r="869" spans="1:5" x14ac:dyDescent="0.2">
      <c r="A869" s="496" t="s">
        <v>2005</v>
      </c>
      <c r="B869" s="496" t="s">
        <v>580</v>
      </c>
      <c r="C869" s="496" t="s">
        <v>845</v>
      </c>
      <c r="D869" s="568" t="s">
        <v>1609</v>
      </c>
      <c r="E869" s="496">
        <f>'CCS Budget - Detailed'!H113</f>
        <v>7200</v>
      </c>
    </row>
    <row r="870" spans="1:5" x14ac:dyDescent="0.2">
      <c r="A870" s="494" t="s">
        <v>2005</v>
      </c>
      <c r="B870" s="496" t="s">
        <v>580</v>
      </c>
      <c r="C870" s="568" t="s">
        <v>2238</v>
      </c>
      <c r="D870" s="496" t="s">
        <v>1609</v>
      </c>
      <c r="E870" s="496">
        <f>'CCS Budget - Detailed'!H114</f>
        <v>22</v>
      </c>
    </row>
    <row r="871" spans="1:5" x14ac:dyDescent="0.2">
      <c r="A871" s="496" t="s">
        <v>2005</v>
      </c>
      <c r="B871" s="496" t="s">
        <v>580</v>
      </c>
      <c r="C871" s="568" t="s">
        <v>1401</v>
      </c>
      <c r="D871" s="496" t="s">
        <v>1609</v>
      </c>
      <c r="E871" s="496">
        <f>'CCS Budget - Detailed'!H115</f>
        <v>104</v>
      </c>
    </row>
    <row r="872" spans="1:5" x14ac:dyDescent="0.2">
      <c r="A872" s="494" t="s">
        <v>2005</v>
      </c>
      <c r="B872" s="496" t="s">
        <v>580</v>
      </c>
      <c r="C872" s="568" t="s">
        <v>1402</v>
      </c>
      <c r="D872" s="496" t="s">
        <v>1609</v>
      </c>
      <c r="E872" s="496">
        <f>'CCS Budget - Detailed'!H116</f>
        <v>1469</v>
      </c>
    </row>
    <row r="873" spans="1:5" x14ac:dyDescent="0.2">
      <c r="A873" s="496" t="s">
        <v>2005</v>
      </c>
      <c r="B873" s="496" t="s">
        <v>580</v>
      </c>
      <c r="C873" s="496" t="s">
        <v>1510</v>
      </c>
      <c r="D873" s="496" t="s">
        <v>1609</v>
      </c>
      <c r="E873" s="496">
        <f>'CCS Budget - Detailed'!H117+'CCS Budget - Detailed'!H118</f>
        <v>24749</v>
      </c>
    </row>
    <row r="874" spans="1:5" x14ac:dyDescent="0.2">
      <c r="A874" s="496" t="s">
        <v>2005</v>
      </c>
      <c r="B874" s="496" t="s">
        <v>580</v>
      </c>
      <c r="C874" s="496" t="s">
        <v>850</v>
      </c>
      <c r="D874" s="496" t="s">
        <v>1609</v>
      </c>
      <c r="E874" s="496">
        <f>'CCS Budget - Detailed'!H119</f>
        <v>7000</v>
      </c>
    </row>
    <row r="875" spans="1:5" x14ac:dyDescent="0.2">
      <c r="A875" s="494" t="s">
        <v>2005</v>
      </c>
      <c r="B875" s="496" t="s">
        <v>580</v>
      </c>
      <c r="C875" s="496" t="s">
        <v>851</v>
      </c>
      <c r="D875" s="496" t="s">
        <v>1609</v>
      </c>
      <c r="E875" s="496">
        <f>'CCS Budget - Detailed'!H120</f>
        <v>11000</v>
      </c>
    </row>
    <row r="876" spans="1:5" x14ac:dyDescent="0.2">
      <c r="A876" s="494" t="s">
        <v>2005</v>
      </c>
      <c r="B876" s="496" t="s">
        <v>580</v>
      </c>
      <c r="C876" s="496" t="s">
        <v>2518</v>
      </c>
      <c r="D876" s="496" t="s">
        <v>1609</v>
      </c>
      <c r="E876" s="496">
        <f>'CCS Budget - Detailed'!H229</f>
        <v>1087</v>
      </c>
    </row>
    <row r="877" spans="1:5" x14ac:dyDescent="0.2">
      <c r="A877" s="496" t="s">
        <v>2005</v>
      </c>
      <c r="B877" s="496" t="s">
        <v>580</v>
      </c>
      <c r="C877" s="496" t="s">
        <v>857</v>
      </c>
      <c r="D877" s="496" t="s">
        <v>1609</v>
      </c>
      <c r="E877" s="496">
        <f>'CCS Budget - Detailed'!H123</f>
        <v>3000</v>
      </c>
    </row>
    <row r="878" spans="1:5" x14ac:dyDescent="0.2">
      <c r="A878" s="494" t="s">
        <v>2005</v>
      </c>
      <c r="B878" s="496" t="s">
        <v>580</v>
      </c>
      <c r="C878" s="496" t="s">
        <v>859</v>
      </c>
      <c r="D878" s="496" t="s">
        <v>1609</v>
      </c>
      <c r="E878" s="496">
        <f>'CCS Budget - Detailed'!H124</f>
        <v>3000</v>
      </c>
    </row>
    <row r="879" spans="1:5" x14ac:dyDescent="0.2">
      <c r="A879" s="496" t="s">
        <v>2005</v>
      </c>
      <c r="B879" s="496" t="s">
        <v>580</v>
      </c>
      <c r="C879" s="496" t="s">
        <v>861</v>
      </c>
      <c r="D879" s="496" t="s">
        <v>1609</v>
      </c>
      <c r="E879" s="496">
        <f>'CCS Budget - Detailed'!H125</f>
        <v>9157</v>
      </c>
    </row>
    <row r="880" spans="1:5" x14ac:dyDescent="0.2">
      <c r="A880" s="496" t="s">
        <v>2005</v>
      </c>
      <c r="B880" s="496" t="s">
        <v>580</v>
      </c>
      <c r="C880" s="496" t="s">
        <v>2516</v>
      </c>
      <c r="D880" s="496" t="s">
        <v>1609</v>
      </c>
      <c r="E880" s="496">
        <f>'CCS Budget - Detailed'!H226</f>
        <v>926</v>
      </c>
    </row>
    <row r="881" spans="1:5" x14ac:dyDescent="0.2">
      <c r="A881" s="494" t="s">
        <v>2005</v>
      </c>
      <c r="B881" s="496" t="s">
        <v>580</v>
      </c>
      <c r="C881" s="496" t="s">
        <v>863</v>
      </c>
      <c r="D881" s="496" t="s">
        <v>1609</v>
      </c>
      <c r="E881" s="496">
        <f>'CCS Budget - Detailed'!H126</f>
        <v>7400</v>
      </c>
    </row>
    <row r="882" spans="1:5" x14ac:dyDescent="0.2">
      <c r="A882" s="496" t="s">
        <v>2005</v>
      </c>
      <c r="B882" s="496" t="s">
        <v>580</v>
      </c>
      <c r="C882" s="496" t="s">
        <v>865</v>
      </c>
      <c r="D882" s="496" t="s">
        <v>1609</v>
      </c>
      <c r="E882" s="496">
        <f>'CCS Budget - Detailed'!H127</f>
        <v>5000</v>
      </c>
    </row>
    <row r="883" spans="1:5" x14ac:dyDescent="0.2">
      <c r="A883" s="494" t="s">
        <v>2005</v>
      </c>
      <c r="B883" s="496" t="s">
        <v>580</v>
      </c>
      <c r="C883" s="496" t="s">
        <v>867</v>
      </c>
      <c r="D883" s="496" t="s">
        <v>1609</v>
      </c>
      <c r="E883" s="496">
        <f>'CCS Budget - Detailed'!H128</f>
        <v>1000</v>
      </c>
    </row>
    <row r="884" spans="1:5" x14ac:dyDescent="0.2">
      <c r="A884" s="496" t="s">
        <v>2005</v>
      </c>
      <c r="B884" s="496" t="s">
        <v>580</v>
      </c>
      <c r="C884" s="496" t="s">
        <v>869</v>
      </c>
      <c r="D884" s="496" t="s">
        <v>1609</v>
      </c>
      <c r="E884" s="496">
        <f>'CCS Budget - Detailed'!H129</f>
        <v>2500</v>
      </c>
    </row>
    <row r="885" spans="1:5" x14ac:dyDescent="0.2">
      <c r="A885" s="494" t="s">
        <v>2005</v>
      </c>
      <c r="B885" s="496" t="s">
        <v>580</v>
      </c>
      <c r="C885" s="496" t="s">
        <v>871</v>
      </c>
      <c r="D885" s="496" t="s">
        <v>1609</v>
      </c>
      <c r="E885" s="496">
        <f>'CCS Budget - Detailed'!H130</f>
        <v>500</v>
      </c>
    </row>
    <row r="886" spans="1:5" x14ac:dyDescent="0.2">
      <c r="A886" s="496" t="s">
        <v>2005</v>
      </c>
      <c r="B886" s="496" t="s">
        <v>580</v>
      </c>
      <c r="C886" s="496" t="s">
        <v>873</v>
      </c>
      <c r="D886" s="496" t="s">
        <v>1609</v>
      </c>
      <c r="E886" s="496">
        <f>'CCS Budget - Detailed'!H131</f>
        <v>10000</v>
      </c>
    </row>
    <row r="887" spans="1:5" x14ac:dyDescent="0.2">
      <c r="A887" s="496" t="s">
        <v>2005</v>
      </c>
      <c r="B887" s="496" t="s">
        <v>580</v>
      </c>
      <c r="C887" s="496" t="s">
        <v>2239</v>
      </c>
      <c r="D887" s="496" t="s">
        <v>1609</v>
      </c>
      <c r="E887" s="496">
        <f>'CCS Budget - Detailed'!H132</f>
        <v>720</v>
      </c>
    </row>
    <row r="888" spans="1:5" x14ac:dyDescent="0.2">
      <c r="A888" s="494" t="s">
        <v>2005</v>
      </c>
      <c r="B888" s="496" t="s">
        <v>580</v>
      </c>
      <c r="C888" s="496" t="s">
        <v>876</v>
      </c>
      <c r="D888" s="496" t="s">
        <v>1609</v>
      </c>
      <c r="E888" s="496">
        <f>'CCS Budget - Detailed'!H135</f>
        <v>39629</v>
      </c>
    </row>
    <row r="889" spans="1:5" x14ac:dyDescent="0.2">
      <c r="A889" s="496" t="s">
        <v>2005</v>
      </c>
      <c r="B889" s="496" t="s">
        <v>580</v>
      </c>
      <c r="C889" s="496" t="s">
        <v>2240</v>
      </c>
      <c r="D889" s="496" t="s">
        <v>1609</v>
      </c>
      <c r="E889" s="496">
        <f>'CCS Budget - Detailed'!H136</f>
        <v>119</v>
      </c>
    </row>
    <row r="890" spans="1:5" x14ac:dyDescent="0.2">
      <c r="A890" s="494" t="s">
        <v>2005</v>
      </c>
      <c r="B890" s="496" t="s">
        <v>580</v>
      </c>
      <c r="C890" s="496" t="s">
        <v>878</v>
      </c>
      <c r="D890" s="496" t="s">
        <v>1609</v>
      </c>
      <c r="E890" s="496">
        <f>'CCS Budget - Detailed'!H137</f>
        <v>575</v>
      </c>
    </row>
    <row r="891" spans="1:5" x14ac:dyDescent="0.2">
      <c r="A891" s="496" t="s">
        <v>2005</v>
      </c>
      <c r="B891" s="496" t="s">
        <v>580</v>
      </c>
      <c r="C891" s="496" t="s">
        <v>880</v>
      </c>
      <c r="D891" s="496" t="s">
        <v>1609</v>
      </c>
      <c r="E891" s="496">
        <f>'CCS Budget - Detailed'!H138</f>
        <v>0</v>
      </c>
    </row>
    <row r="892" spans="1:5" x14ac:dyDescent="0.2">
      <c r="A892" s="494" t="s">
        <v>2005</v>
      </c>
      <c r="B892" s="496" t="s">
        <v>580</v>
      </c>
      <c r="C892" s="496" t="s">
        <v>2241</v>
      </c>
      <c r="D892" s="496" t="s">
        <v>1609</v>
      </c>
      <c r="E892" s="496">
        <f>'CCS Budget - Detailed'!H139</f>
        <v>6520</v>
      </c>
    </row>
    <row r="893" spans="1:5" x14ac:dyDescent="0.2">
      <c r="A893" s="494" t="s">
        <v>2005</v>
      </c>
      <c r="B893" s="496" t="s">
        <v>580</v>
      </c>
      <c r="C893" s="496" t="s">
        <v>884</v>
      </c>
      <c r="D893" s="496" t="s">
        <v>1609</v>
      </c>
      <c r="E893" s="496">
        <f>'CCS Budget - Detailed'!H140</f>
        <v>0</v>
      </c>
    </row>
    <row r="894" spans="1:5" x14ac:dyDescent="0.2">
      <c r="A894" s="496" t="s">
        <v>2005</v>
      </c>
      <c r="B894" s="496" t="s">
        <v>580</v>
      </c>
      <c r="C894" s="496" t="s">
        <v>887</v>
      </c>
      <c r="D894" s="496" t="s">
        <v>1609</v>
      </c>
      <c r="E894" s="496">
        <f>'CCS Budget - Detailed'!H143</f>
        <v>20000</v>
      </c>
    </row>
    <row r="895" spans="1:5" x14ac:dyDescent="0.2">
      <c r="A895" s="494" t="s">
        <v>2005</v>
      </c>
      <c r="B895" s="496" t="s">
        <v>580</v>
      </c>
      <c r="C895" s="496" t="s">
        <v>2242</v>
      </c>
      <c r="D895" s="496" t="s">
        <v>1609</v>
      </c>
      <c r="E895" s="496">
        <f>'CCS Budget - Detailed'!H144</f>
        <v>60</v>
      </c>
    </row>
    <row r="896" spans="1:5" x14ac:dyDescent="0.2">
      <c r="A896" s="496" t="s">
        <v>2005</v>
      </c>
      <c r="B896" s="496" t="s">
        <v>580</v>
      </c>
      <c r="C896" s="496" t="s">
        <v>889</v>
      </c>
      <c r="D896" s="496" t="s">
        <v>1609</v>
      </c>
      <c r="E896" s="496">
        <f>'CCS Budget - Detailed'!H145</f>
        <v>290</v>
      </c>
    </row>
    <row r="897" spans="1:5" x14ac:dyDescent="0.2">
      <c r="A897" s="494" t="s">
        <v>2005</v>
      </c>
      <c r="B897" s="496" t="s">
        <v>580</v>
      </c>
      <c r="C897" s="496" t="s">
        <v>891</v>
      </c>
      <c r="D897" s="496" t="s">
        <v>1609</v>
      </c>
      <c r="E897" s="496">
        <f>'CCS Budget - Detailed'!H146</f>
        <v>4080</v>
      </c>
    </row>
    <row r="898" spans="1:5" x14ac:dyDescent="0.2">
      <c r="A898" s="496" t="s">
        <v>2005</v>
      </c>
      <c r="B898" s="496" t="s">
        <v>580</v>
      </c>
      <c r="C898" s="496" t="s">
        <v>894</v>
      </c>
      <c r="D898" s="496" t="s">
        <v>1609</v>
      </c>
      <c r="E898" s="496">
        <f>'CCS Budget - Detailed'!H147</f>
        <v>2500</v>
      </c>
    </row>
    <row r="899" spans="1:5" x14ac:dyDescent="0.2">
      <c r="A899" s="494" t="s">
        <v>2005</v>
      </c>
      <c r="B899" s="496" t="s">
        <v>580</v>
      </c>
      <c r="C899" s="496" t="s">
        <v>899</v>
      </c>
      <c r="D899" s="496" t="s">
        <v>1609</v>
      </c>
      <c r="E899" s="496">
        <f>'CCS Budget - Detailed'!H151</f>
        <v>14470</v>
      </c>
    </row>
    <row r="900" spans="1:5" x14ac:dyDescent="0.2">
      <c r="A900" s="496" t="s">
        <v>2005</v>
      </c>
      <c r="B900" s="496" t="s">
        <v>580</v>
      </c>
      <c r="C900" s="496" t="s">
        <v>2243</v>
      </c>
      <c r="D900" s="496" t="s">
        <v>1609</v>
      </c>
      <c r="E900" s="496">
        <f>'CCS Budget - Detailed'!H152</f>
        <v>43</v>
      </c>
    </row>
    <row r="901" spans="1:5" x14ac:dyDescent="0.2">
      <c r="A901" s="494" t="s">
        <v>2005</v>
      </c>
      <c r="B901" s="496" t="s">
        <v>580</v>
      </c>
      <c r="C901" s="496" t="s">
        <v>901</v>
      </c>
      <c r="D901" s="496" t="s">
        <v>1609</v>
      </c>
      <c r="E901" s="496">
        <f>'CCS Budget - Detailed'!H153</f>
        <v>210</v>
      </c>
    </row>
    <row r="902" spans="1:5" x14ac:dyDescent="0.2">
      <c r="A902" s="496" t="s">
        <v>2005</v>
      </c>
      <c r="B902" s="496" t="s">
        <v>580</v>
      </c>
      <c r="C902" s="496" t="s">
        <v>903</v>
      </c>
      <c r="D902" s="496" t="s">
        <v>1609</v>
      </c>
      <c r="E902" s="496">
        <f>'CCS Budget - Detailed'!H154</f>
        <v>2952</v>
      </c>
    </row>
    <row r="903" spans="1:5" x14ac:dyDescent="0.2">
      <c r="A903" s="494" t="s">
        <v>2005</v>
      </c>
      <c r="B903" s="496" t="s">
        <v>580</v>
      </c>
      <c r="C903" s="496" t="s">
        <v>1998</v>
      </c>
      <c r="D903" s="496" t="s">
        <v>1609</v>
      </c>
      <c r="E903" s="496">
        <f>'CCS Budget - Detailed'!H156</f>
        <v>0</v>
      </c>
    </row>
    <row r="904" spans="1:5" x14ac:dyDescent="0.2">
      <c r="A904" s="494" t="s">
        <v>2005</v>
      </c>
      <c r="B904" s="496" t="s">
        <v>580</v>
      </c>
      <c r="C904" s="496" t="s">
        <v>2244</v>
      </c>
      <c r="D904" s="496" t="s">
        <v>1609</v>
      </c>
      <c r="E904" s="496">
        <f>'CCS Budget - Detailed'!H157</f>
        <v>2657</v>
      </c>
    </row>
    <row r="905" spans="1:5" x14ac:dyDescent="0.2">
      <c r="A905" s="494" t="s">
        <v>2005</v>
      </c>
      <c r="B905" s="496" t="s">
        <v>580</v>
      </c>
      <c r="C905" s="496" t="s">
        <v>2684</v>
      </c>
      <c r="D905" s="496" t="s">
        <v>1609</v>
      </c>
      <c r="E905" s="496">
        <f>'CCS Budget - Detailed'!H216</f>
        <v>100</v>
      </c>
    </row>
    <row r="906" spans="1:5" x14ac:dyDescent="0.2">
      <c r="A906" s="494" t="s">
        <v>2005</v>
      </c>
      <c r="B906" s="496" t="s">
        <v>580</v>
      </c>
      <c r="C906" s="496" t="s">
        <v>2509</v>
      </c>
      <c r="D906" s="496" t="s">
        <v>1609</v>
      </c>
      <c r="E906" s="496">
        <f>'CCS Budget - Detailed'!H217</f>
        <v>253</v>
      </c>
    </row>
    <row r="907" spans="1:5" x14ac:dyDescent="0.2">
      <c r="A907" s="494" t="s">
        <v>2005</v>
      </c>
      <c r="B907" s="496" t="s">
        <v>580</v>
      </c>
      <c r="C907" s="496" t="s">
        <v>2245</v>
      </c>
      <c r="D907" s="496" t="s">
        <v>1609</v>
      </c>
      <c r="E907" s="496">
        <f>'CCS Budget - Detailed'!H176</f>
        <v>5365</v>
      </c>
    </row>
    <row r="908" spans="1:5" x14ac:dyDescent="0.2">
      <c r="A908" s="496" t="s">
        <v>2005</v>
      </c>
      <c r="B908" s="496" t="s">
        <v>580</v>
      </c>
      <c r="C908" s="496" t="s">
        <v>1424</v>
      </c>
      <c r="D908" s="496" t="s">
        <v>1609</v>
      </c>
      <c r="E908" s="496">
        <f>'CCS Budget - Detailed'!H177</f>
        <v>16</v>
      </c>
    </row>
    <row r="909" spans="1:5" x14ac:dyDescent="0.2">
      <c r="A909" s="494" t="s">
        <v>2005</v>
      </c>
      <c r="B909" s="496" t="s">
        <v>580</v>
      </c>
      <c r="C909" s="496" t="s">
        <v>2246</v>
      </c>
      <c r="D909" s="496" t="s">
        <v>1609</v>
      </c>
      <c r="E909" s="496">
        <f>'CCS Budget - Detailed'!H178</f>
        <v>78</v>
      </c>
    </row>
    <row r="910" spans="1:5" x14ac:dyDescent="0.2">
      <c r="A910" s="496" t="s">
        <v>2005</v>
      </c>
      <c r="B910" s="496" t="s">
        <v>580</v>
      </c>
      <c r="C910" s="496" t="s">
        <v>1422</v>
      </c>
      <c r="D910" s="496" t="s">
        <v>1609</v>
      </c>
      <c r="E910" s="496">
        <f>'CCS Budget - Detailed'!H179</f>
        <v>1095</v>
      </c>
    </row>
    <row r="911" spans="1:5" x14ac:dyDescent="0.2">
      <c r="A911" s="494" t="s">
        <v>2005</v>
      </c>
      <c r="B911" s="496" t="s">
        <v>580</v>
      </c>
      <c r="C911" s="496" t="s">
        <v>1434</v>
      </c>
      <c r="D911" s="496" t="s">
        <v>1609</v>
      </c>
      <c r="E911" s="496">
        <f>'CCS Budget - Detailed'!H180</f>
        <v>1274</v>
      </c>
    </row>
    <row r="912" spans="1:5" x14ac:dyDescent="0.2">
      <c r="A912" s="496" t="s">
        <v>2005</v>
      </c>
      <c r="B912" s="496" t="s">
        <v>580</v>
      </c>
      <c r="C912" s="496" t="s">
        <v>1436</v>
      </c>
      <c r="D912" s="496" t="s">
        <v>1609</v>
      </c>
      <c r="E912" s="496">
        <f>'CCS Budget - Detailed'!H181+'CCS Budget - Detailed'!H182</f>
        <v>3641</v>
      </c>
    </row>
    <row r="913" spans="1:5" x14ac:dyDescent="0.2">
      <c r="A913" s="494" t="s">
        <v>2005</v>
      </c>
      <c r="B913" s="496" t="s">
        <v>580</v>
      </c>
      <c r="C913" s="496" t="s">
        <v>1439</v>
      </c>
      <c r="D913" s="496" t="s">
        <v>1609</v>
      </c>
      <c r="E913" s="496">
        <f>'CCS Budget - Detailed'!H190</f>
        <v>20918</v>
      </c>
    </row>
    <row r="914" spans="1:5" x14ac:dyDescent="0.2">
      <c r="A914" s="494" t="s">
        <v>2005</v>
      </c>
      <c r="B914" s="496" t="s">
        <v>580</v>
      </c>
      <c r="C914" s="496" t="s">
        <v>909</v>
      </c>
      <c r="D914" s="496" t="s">
        <v>1609</v>
      </c>
      <c r="E914" s="496">
        <f>'CCS Budget - Detailed'!H208</f>
        <v>4746</v>
      </c>
    </row>
    <row r="915" spans="1:5" x14ac:dyDescent="0.2">
      <c r="A915" s="494" t="s">
        <v>2005</v>
      </c>
      <c r="B915" s="496" t="s">
        <v>580</v>
      </c>
      <c r="C915" s="496" t="s">
        <v>2498</v>
      </c>
      <c r="D915" s="496" t="s">
        <v>1609</v>
      </c>
      <c r="E915" s="496">
        <f>'CCS Budget - Detailed'!H201</f>
        <v>600</v>
      </c>
    </row>
    <row r="916" spans="1:5" x14ac:dyDescent="0.2">
      <c r="A916" s="494" t="s">
        <v>2005</v>
      </c>
      <c r="B916" s="496" t="s">
        <v>580</v>
      </c>
      <c r="C916" s="496" t="s">
        <v>2500</v>
      </c>
      <c r="D916" s="496" t="s">
        <v>1609</v>
      </c>
      <c r="E916" s="496">
        <f>'CCS Budget - Detailed'!H202</f>
        <v>2</v>
      </c>
    </row>
    <row r="917" spans="1:5" x14ac:dyDescent="0.2">
      <c r="A917" s="494" t="s">
        <v>2005</v>
      </c>
      <c r="B917" s="496" t="s">
        <v>580</v>
      </c>
      <c r="C917" s="496" t="s">
        <v>2503</v>
      </c>
      <c r="D917" s="496" t="s">
        <v>1609</v>
      </c>
      <c r="E917" s="496">
        <f>'CCS Budget - Detailed'!H203</f>
        <v>9</v>
      </c>
    </row>
    <row r="918" spans="1:5" x14ac:dyDescent="0.2">
      <c r="A918" s="494" t="s">
        <v>2005</v>
      </c>
      <c r="B918" s="496" t="s">
        <v>580</v>
      </c>
      <c r="C918" s="496" t="s">
        <v>2504</v>
      </c>
      <c r="D918" s="496" t="s">
        <v>1609</v>
      </c>
      <c r="E918" s="496">
        <f>'CCS Budget - Detailed'!H204</f>
        <v>122</v>
      </c>
    </row>
    <row r="919" spans="1:5" x14ac:dyDescent="0.2">
      <c r="A919" s="494" t="s">
        <v>2005</v>
      </c>
      <c r="B919" s="496" t="s">
        <v>580</v>
      </c>
      <c r="C919" s="496" t="s">
        <v>2506</v>
      </c>
      <c r="D919" s="496" t="s">
        <v>1609</v>
      </c>
      <c r="E919" s="496">
        <f>'CCS Budget - Detailed'!H205</f>
        <v>650</v>
      </c>
    </row>
    <row r="920" spans="1:5" x14ac:dyDescent="0.2">
      <c r="A920" s="496" t="s">
        <v>2005</v>
      </c>
      <c r="B920" s="496" t="s">
        <v>580</v>
      </c>
      <c r="C920" s="496" t="s">
        <v>911</v>
      </c>
      <c r="D920" s="496" t="s">
        <v>1609</v>
      </c>
      <c r="E920" s="496">
        <f>'CCS Budget - Detailed'!H211</f>
        <v>31413</v>
      </c>
    </row>
    <row r="921" spans="1:5" x14ac:dyDescent="0.2">
      <c r="A921" s="494" t="s">
        <v>2005</v>
      </c>
      <c r="B921" s="496" t="s">
        <v>580</v>
      </c>
      <c r="C921" s="496" t="s">
        <v>2249</v>
      </c>
      <c r="D921" s="496" t="s">
        <v>1609</v>
      </c>
      <c r="E921" s="496">
        <f>'CCS Budget - Detailed'!H212</f>
        <v>94</v>
      </c>
    </row>
    <row r="922" spans="1:5" x14ac:dyDescent="0.2">
      <c r="A922" s="496" t="s">
        <v>2005</v>
      </c>
      <c r="B922" s="496" t="s">
        <v>580</v>
      </c>
      <c r="C922" s="496" t="s">
        <v>913</v>
      </c>
      <c r="D922" s="496" t="s">
        <v>1609</v>
      </c>
      <c r="E922" s="496">
        <f>'CCS Budget - Detailed'!H213</f>
        <v>455</v>
      </c>
    </row>
    <row r="923" spans="1:5" x14ac:dyDescent="0.2">
      <c r="A923" s="494" t="s">
        <v>2005</v>
      </c>
      <c r="B923" s="496" t="s">
        <v>580</v>
      </c>
      <c r="C923" s="496" t="s">
        <v>915</v>
      </c>
      <c r="D923" s="496" t="s">
        <v>1609</v>
      </c>
      <c r="E923" s="496">
        <f>'CCS Budget - Detailed'!H214</f>
        <v>6408</v>
      </c>
    </row>
    <row r="924" spans="1:5" x14ac:dyDescent="0.2">
      <c r="A924" s="496" t="s">
        <v>2005</v>
      </c>
      <c r="B924" s="496" t="s">
        <v>580</v>
      </c>
      <c r="C924" s="496" t="s">
        <v>2250</v>
      </c>
      <c r="D924" s="496" t="s">
        <v>1609</v>
      </c>
      <c r="E924" s="496">
        <f>'CCS Budget - Detailed'!H215</f>
        <v>3600</v>
      </c>
    </row>
    <row r="925" spans="1:5" x14ac:dyDescent="0.2">
      <c r="A925" s="496" t="s">
        <v>2005</v>
      </c>
      <c r="B925" s="496" t="s">
        <v>580</v>
      </c>
      <c r="C925" s="496" t="s">
        <v>2511</v>
      </c>
      <c r="D925" s="496" t="s">
        <v>1609</v>
      </c>
      <c r="E925" s="496">
        <f>'CCS Budget - Detailed'!H220</f>
        <v>2290</v>
      </c>
    </row>
    <row r="926" spans="1:5" x14ac:dyDescent="0.2">
      <c r="A926" s="496" t="s">
        <v>2005</v>
      </c>
      <c r="B926" s="496" t="s">
        <v>580</v>
      </c>
      <c r="C926" s="496" t="s">
        <v>2514</v>
      </c>
      <c r="D926" s="496" t="s">
        <v>1609</v>
      </c>
      <c r="E926" s="496">
        <f>'CCS Budget - Detailed'!H223</f>
        <v>995</v>
      </c>
    </row>
    <row r="927" spans="1:5" x14ac:dyDescent="0.2">
      <c r="A927" s="496" t="s">
        <v>2005</v>
      </c>
      <c r="B927" s="496" t="s">
        <v>580</v>
      </c>
      <c r="C927" s="496" t="s">
        <v>1426</v>
      </c>
      <c r="D927" s="496" t="s">
        <v>1609</v>
      </c>
      <c r="E927" s="496">
        <f>'CCS Budget - Detailed'!H183</f>
        <v>3035</v>
      </c>
    </row>
    <row r="928" spans="1:5" x14ac:dyDescent="0.2">
      <c r="A928" s="494" t="s">
        <v>2005</v>
      </c>
      <c r="B928" s="496" t="s">
        <v>580</v>
      </c>
      <c r="C928" s="496" t="s">
        <v>1431</v>
      </c>
      <c r="D928" s="496" t="s">
        <v>1609</v>
      </c>
      <c r="E928" s="496">
        <f>'CCS Budget - Detailed'!H184</f>
        <v>9</v>
      </c>
    </row>
    <row r="929" spans="1:5" x14ac:dyDescent="0.2">
      <c r="A929" s="496" t="s">
        <v>2005</v>
      </c>
      <c r="B929" s="496" t="s">
        <v>580</v>
      </c>
      <c r="C929" s="496" t="s">
        <v>2251</v>
      </c>
      <c r="D929" s="496" t="s">
        <v>1609</v>
      </c>
      <c r="E929" s="496">
        <f>'CCS Budget - Detailed'!H185</f>
        <v>44</v>
      </c>
    </row>
    <row r="930" spans="1:5" x14ac:dyDescent="0.2">
      <c r="A930" s="494" t="s">
        <v>2005</v>
      </c>
      <c r="B930" s="496" t="s">
        <v>580</v>
      </c>
      <c r="C930" s="496" t="s">
        <v>1429</v>
      </c>
      <c r="D930" s="496" t="s">
        <v>1609</v>
      </c>
      <c r="E930" s="496">
        <f>'CCS Budget - Detailed'!H186</f>
        <v>612</v>
      </c>
    </row>
    <row r="931" spans="1:5" x14ac:dyDescent="0.2">
      <c r="A931" s="494" t="s">
        <v>2005</v>
      </c>
      <c r="B931" s="496" t="s">
        <v>580</v>
      </c>
      <c r="C931" s="496" t="s">
        <v>2247</v>
      </c>
      <c r="D931" s="496" t="s">
        <v>1609</v>
      </c>
      <c r="E931" s="496">
        <f>'CCS Budget - Detailed'!H187</f>
        <v>1456</v>
      </c>
    </row>
    <row r="932" spans="1:5" x14ac:dyDescent="0.2">
      <c r="A932" s="496" t="s">
        <v>2005</v>
      </c>
      <c r="B932" s="496" t="s">
        <v>580</v>
      </c>
      <c r="C932" s="496" t="s">
        <v>2252</v>
      </c>
      <c r="D932" s="496" t="s">
        <v>1609</v>
      </c>
      <c r="E932" s="496">
        <f>'CCS Budget - Detailed'!H168</f>
        <v>17500</v>
      </c>
    </row>
    <row r="933" spans="1:5" x14ac:dyDescent="0.2">
      <c r="A933" s="496" t="s">
        <v>2005</v>
      </c>
      <c r="B933" s="496" t="s">
        <v>580</v>
      </c>
      <c r="C933" s="496" t="s">
        <v>1419</v>
      </c>
      <c r="D933" s="496" t="s">
        <v>1609</v>
      </c>
      <c r="E933" s="496">
        <f>'CCS Budget - Detailed'!H169</f>
        <v>65</v>
      </c>
    </row>
    <row r="934" spans="1:5" x14ac:dyDescent="0.2">
      <c r="A934" s="494" t="s">
        <v>2005</v>
      </c>
      <c r="B934" s="496" t="s">
        <v>580</v>
      </c>
      <c r="C934" s="496" t="s">
        <v>1416</v>
      </c>
      <c r="D934" s="496" t="s">
        <v>1609</v>
      </c>
      <c r="E934" s="496">
        <f>'CCS Budget - Detailed'!H170</f>
        <v>53</v>
      </c>
    </row>
    <row r="935" spans="1:5" x14ac:dyDescent="0.2">
      <c r="A935" s="496" t="s">
        <v>2005</v>
      </c>
      <c r="B935" s="496" t="s">
        <v>580</v>
      </c>
      <c r="C935" s="496" t="s">
        <v>2253</v>
      </c>
      <c r="D935" s="496" t="s">
        <v>1609</v>
      </c>
      <c r="E935" s="496">
        <f>'CCS Budget - Detailed'!H171</f>
        <v>254</v>
      </c>
    </row>
    <row r="936" spans="1:5" x14ac:dyDescent="0.2">
      <c r="A936" s="494" t="s">
        <v>2005</v>
      </c>
      <c r="B936" s="496" t="s">
        <v>580</v>
      </c>
      <c r="C936" s="496" t="s">
        <v>1414</v>
      </c>
      <c r="D936" s="496" t="s">
        <v>1609</v>
      </c>
      <c r="E936" s="496">
        <f>'CCS Budget - Detailed'!H172</f>
        <v>3570</v>
      </c>
    </row>
    <row r="937" spans="1:5" x14ac:dyDescent="0.2">
      <c r="A937" s="496" t="s">
        <v>2005</v>
      </c>
      <c r="B937" s="496" t="s">
        <v>580</v>
      </c>
      <c r="C937" s="496" t="s">
        <v>1412</v>
      </c>
      <c r="D937" s="496" t="s">
        <v>1609</v>
      </c>
      <c r="E937" s="496">
        <f>'CCS Budget - Detailed'!H173</f>
        <v>6170</v>
      </c>
    </row>
    <row r="938" spans="1:5" x14ac:dyDescent="0.2">
      <c r="A938" s="496" t="s">
        <v>2005</v>
      </c>
      <c r="B938" s="496" t="s">
        <v>580</v>
      </c>
      <c r="C938" s="496" t="s">
        <v>2248</v>
      </c>
      <c r="D938" s="496" t="s">
        <v>1609</v>
      </c>
      <c r="E938" s="496">
        <f>'CCS Budget - Detailed'!H174+'CCS Budget - Detailed'!H175</f>
        <v>7595</v>
      </c>
    </row>
    <row r="939" spans="1:5" x14ac:dyDescent="0.2">
      <c r="A939" s="494" t="s">
        <v>2005</v>
      </c>
      <c r="B939" s="496" t="s">
        <v>580</v>
      </c>
      <c r="C939" s="496" t="s">
        <v>1405</v>
      </c>
      <c r="D939" s="496" t="s">
        <v>1609</v>
      </c>
      <c r="E939" s="496">
        <f>'CCS Budget - Detailed'!H164</f>
        <v>4878</v>
      </c>
    </row>
    <row r="940" spans="1:5" x14ac:dyDescent="0.2">
      <c r="A940" s="494" t="s">
        <v>2005</v>
      </c>
      <c r="B940" s="496" t="s">
        <v>580</v>
      </c>
      <c r="C940" s="496" t="s">
        <v>920</v>
      </c>
      <c r="D940" s="496" t="s">
        <v>1609</v>
      </c>
      <c r="E940" s="496">
        <f>'CCS Budget - Detailed'!H241</f>
        <v>0</v>
      </c>
    </row>
    <row r="941" spans="1:5" x14ac:dyDescent="0.2">
      <c r="A941" s="494" t="s">
        <v>2005</v>
      </c>
      <c r="B941" s="496" t="s">
        <v>580</v>
      </c>
      <c r="C941" s="496" t="s">
        <v>943</v>
      </c>
      <c r="D941" s="496" t="s">
        <v>1609</v>
      </c>
      <c r="E941" s="496">
        <f>'CCS Budget - Detailed'!H248</f>
        <v>215000</v>
      </c>
    </row>
    <row r="942" spans="1:5" x14ac:dyDescent="0.2">
      <c r="A942" s="496" t="s">
        <v>2005</v>
      </c>
      <c r="B942" s="496" t="s">
        <v>580</v>
      </c>
      <c r="C942" s="496" t="s">
        <v>947</v>
      </c>
      <c r="D942" s="496" t="s">
        <v>1609</v>
      </c>
      <c r="E942" s="496">
        <f>'CCS Budget - Detailed'!H250</f>
        <v>59234</v>
      </c>
    </row>
    <row r="943" spans="1:5" x14ac:dyDescent="0.2">
      <c r="A943" s="494" t="s">
        <v>2005</v>
      </c>
      <c r="B943" s="496" t="s">
        <v>580</v>
      </c>
      <c r="C943" s="496" t="s">
        <v>949</v>
      </c>
      <c r="D943" s="496" t="s">
        <v>1609</v>
      </c>
      <c r="E943" s="496">
        <f>'CCS Budget - Detailed'!H251</f>
        <v>37000</v>
      </c>
    </row>
    <row r="944" spans="1:5" x14ac:dyDescent="0.2">
      <c r="A944" s="496" t="s">
        <v>2005</v>
      </c>
      <c r="B944" s="496" t="s">
        <v>580</v>
      </c>
      <c r="C944" s="496" t="s">
        <v>952</v>
      </c>
      <c r="D944" s="496" t="s">
        <v>1609</v>
      </c>
      <c r="E944" s="496">
        <f>'CCS Budget - Detailed'!H253</f>
        <v>12380</v>
      </c>
    </row>
    <row r="945" spans="1:5" x14ac:dyDescent="0.2">
      <c r="A945" s="494" t="s">
        <v>2005</v>
      </c>
      <c r="B945" s="496" t="s">
        <v>580</v>
      </c>
      <c r="C945" s="496" t="s">
        <v>2254</v>
      </c>
      <c r="D945" s="496" t="s">
        <v>1609</v>
      </c>
      <c r="E945" s="496">
        <f>'CCS Budget - Detailed'!H254</f>
        <v>178</v>
      </c>
    </row>
    <row r="946" spans="1:5" x14ac:dyDescent="0.2">
      <c r="A946" s="496" t="s">
        <v>2005</v>
      </c>
      <c r="B946" s="496" t="s">
        <v>580</v>
      </c>
      <c r="C946" s="496" t="s">
        <v>2255</v>
      </c>
      <c r="D946" s="496" t="s">
        <v>1609</v>
      </c>
      <c r="E946" s="496">
        <f>'CCS Budget - Detailed'!H255</f>
        <v>111</v>
      </c>
    </row>
    <row r="947" spans="1:5" x14ac:dyDescent="0.2">
      <c r="A947" s="494" t="s">
        <v>2005</v>
      </c>
      <c r="B947" s="496" t="s">
        <v>580</v>
      </c>
      <c r="C947" s="496" t="s">
        <v>2256</v>
      </c>
      <c r="D947" s="496" t="s">
        <v>1609</v>
      </c>
      <c r="E947" s="496">
        <f>'CCS Budget - Detailed'!H257</f>
        <v>37</v>
      </c>
    </row>
    <row r="948" spans="1:5" x14ac:dyDescent="0.2">
      <c r="A948" s="494" t="s">
        <v>2005</v>
      </c>
      <c r="B948" s="496" t="s">
        <v>580</v>
      </c>
      <c r="C948" s="496" t="s">
        <v>954</v>
      </c>
      <c r="D948" s="496" t="s">
        <v>1609</v>
      </c>
      <c r="E948" s="496">
        <f>'CCS Budget - Detailed'!H258</f>
        <v>859</v>
      </c>
    </row>
    <row r="949" spans="1:5" x14ac:dyDescent="0.2">
      <c r="A949" s="496" t="s">
        <v>2005</v>
      </c>
      <c r="B949" s="496" t="s">
        <v>580</v>
      </c>
      <c r="C949" s="496" t="s">
        <v>956</v>
      </c>
      <c r="D949" s="496" t="s">
        <v>1609</v>
      </c>
      <c r="E949" s="496">
        <f>'CCS Budget - Detailed'!H259</f>
        <v>537</v>
      </c>
    </row>
    <row r="950" spans="1:5" x14ac:dyDescent="0.2">
      <c r="A950" s="494" t="s">
        <v>2005</v>
      </c>
      <c r="B950" s="496" t="s">
        <v>580</v>
      </c>
      <c r="C950" s="496" t="s">
        <v>959</v>
      </c>
      <c r="D950" s="496" t="s">
        <v>1609</v>
      </c>
      <c r="E950" s="496">
        <f>'CCS Budget - Detailed'!H261</f>
        <v>180</v>
      </c>
    </row>
    <row r="951" spans="1:5" x14ac:dyDescent="0.2">
      <c r="A951" s="496" t="s">
        <v>2005</v>
      </c>
      <c r="B951" s="496" t="s">
        <v>580</v>
      </c>
      <c r="C951" s="496" t="s">
        <v>961</v>
      </c>
      <c r="D951" s="496" t="s">
        <v>1609</v>
      </c>
      <c r="E951" s="496">
        <f>'CCS Budget - Detailed'!H262</f>
        <v>12084</v>
      </c>
    </row>
    <row r="952" spans="1:5" x14ac:dyDescent="0.2">
      <c r="A952" s="494" t="s">
        <v>2005</v>
      </c>
      <c r="B952" s="496" t="s">
        <v>580</v>
      </c>
      <c r="C952" s="496" t="s">
        <v>963</v>
      </c>
      <c r="D952" s="496" t="s">
        <v>1609</v>
      </c>
      <c r="E952" s="496">
        <f>'CCS Budget - Detailed'!H263</f>
        <v>7548</v>
      </c>
    </row>
    <row r="953" spans="1:5" x14ac:dyDescent="0.2">
      <c r="A953" s="496" t="s">
        <v>2005</v>
      </c>
      <c r="B953" s="496" t="s">
        <v>580</v>
      </c>
      <c r="C953" s="496" t="s">
        <v>966</v>
      </c>
      <c r="D953" s="496" t="s">
        <v>1609</v>
      </c>
      <c r="E953" s="496">
        <f>'CCS Budget - Detailed'!H265</f>
        <v>2526</v>
      </c>
    </row>
    <row r="954" spans="1:5" x14ac:dyDescent="0.2">
      <c r="A954" s="494" t="s">
        <v>2005</v>
      </c>
      <c r="B954" s="496" t="s">
        <v>580</v>
      </c>
      <c r="C954" s="496" t="s">
        <v>2257</v>
      </c>
      <c r="D954" s="496" t="s">
        <v>1609</v>
      </c>
      <c r="E954" s="496">
        <f>'CCS Budget - Detailed'!H266</f>
        <v>6170</v>
      </c>
    </row>
    <row r="955" spans="1:5" x14ac:dyDescent="0.2">
      <c r="A955" s="496" t="s">
        <v>2005</v>
      </c>
      <c r="B955" s="496" t="s">
        <v>580</v>
      </c>
      <c r="C955" s="496" t="s">
        <v>2258</v>
      </c>
      <c r="D955" s="496" t="s">
        <v>1609</v>
      </c>
      <c r="E955" s="496">
        <f>'CCS Budget - Detailed'!H267</f>
        <v>6170</v>
      </c>
    </row>
    <row r="956" spans="1:5" x14ac:dyDescent="0.2">
      <c r="A956" s="496" t="s">
        <v>2005</v>
      </c>
      <c r="B956" s="496" t="s">
        <v>580</v>
      </c>
      <c r="C956" s="496" t="s">
        <v>976</v>
      </c>
      <c r="D956" s="496" t="s">
        <v>1609</v>
      </c>
      <c r="E956" s="496">
        <f>'CCS Budget - Detailed'!H270</f>
        <v>4000</v>
      </c>
    </row>
    <row r="957" spans="1:5" x14ac:dyDescent="0.2">
      <c r="A957" s="494" t="s">
        <v>2005</v>
      </c>
      <c r="B957" s="496" t="s">
        <v>580</v>
      </c>
      <c r="C957" s="496" t="s">
        <v>978</v>
      </c>
      <c r="D957" s="496" t="s">
        <v>1609</v>
      </c>
      <c r="E957" s="496">
        <f>'CCS Budget - Detailed'!H271</f>
        <v>8500</v>
      </c>
    </row>
    <row r="958" spans="1:5" x14ac:dyDescent="0.2">
      <c r="A958" s="496" t="s">
        <v>2005</v>
      </c>
      <c r="B958" s="496" t="s">
        <v>580</v>
      </c>
      <c r="C958" s="496" t="s">
        <v>980</v>
      </c>
      <c r="D958" s="496" t="s">
        <v>1609</v>
      </c>
      <c r="E958" s="496">
        <f>'CCS Budget - Detailed'!H272</f>
        <v>13800</v>
      </c>
    </row>
    <row r="959" spans="1:5" x14ac:dyDescent="0.2">
      <c r="A959" s="494" t="s">
        <v>2005</v>
      </c>
      <c r="B959" s="496" t="s">
        <v>580</v>
      </c>
      <c r="C959" s="496" t="s">
        <v>982</v>
      </c>
      <c r="D959" s="496" t="s">
        <v>1609</v>
      </c>
      <c r="E959" s="496">
        <f>'CCS Budget - Detailed'!H273</f>
        <v>400</v>
      </c>
    </row>
    <row r="960" spans="1:5" x14ac:dyDescent="0.2">
      <c r="A960" s="496" t="s">
        <v>2005</v>
      </c>
      <c r="B960" s="496" t="s">
        <v>580</v>
      </c>
      <c r="C960" s="496" t="s">
        <v>984</v>
      </c>
      <c r="D960" s="496" t="s">
        <v>1609</v>
      </c>
      <c r="E960" s="496">
        <f>'CCS Budget - Detailed'!H274</f>
        <v>2000</v>
      </c>
    </row>
    <row r="961" spans="1:5" x14ac:dyDescent="0.2">
      <c r="A961" s="494" t="s">
        <v>2005</v>
      </c>
      <c r="B961" s="496" t="s">
        <v>580</v>
      </c>
      <c r="C961" s="496" t="s">
        <v>986</v>
      </c>
      <c r="D961" s="496" t="s">
        <v>1609</v>
      </c>
      <c r="E961" s="496">
        <f>'CCS Budget - Detailed'!H275</f>
        <v>0</v>
      </c>
    </row>
    <row r="962" spans="1:5" x14ac:dyDescent="0.2">
      <c r="A962" s="496" t="s">
        <v>2005</v>
      </c>
      <c r="B962" s="496" t="s">
        <v>580</v>
      </c>
      <c r="C962" s="496" t="s">
        <v>988</v>
      </c>
      <c r="D962" s="496" t="s">
        <v>1609</v>
      </c>
      <c r="E962" s="496">
        <f>'CCS Budget - Detailed'!H276</f>
        <v>4000</v>
      </c>
    </row>
    <row r="963" spans="1:5" x14ac:dyDescent="0.2">
      <c r="A963" s="494" t="s">
        <v>2005</v>
      </c>
      <c r="B963" s="496" t="s">
        <v>580</v>
      </c>
      <c r="C963" s="496" t="s">
        <v>991</v>
      </c>
      <c r="D963" s="496" t="s">
        <v>1609</v>
      </c>
      <c r="E963" s="496">
        <f>'CCS Budget - Detailed'!H278</f>
        <v>500</v>
      </c>
    </row>
    <row r="964" spans="1:5" x14ac:dyDescent="0.2">
      <c r="A964" s="496" t="s">
        <v>2005</v>
      </c>
      <c r="B964" s="496" t="s">
        <v>580</v>
      </c>
      <c r="C964" s="496" t="s">
        <v>994</v>
      </c>
      <c r="D964" s="496" t="s">
        <v>1609</v>
      </c>
      <c r="E964" s="496">
        <f>'CCS Budget - Detailed'!H281</f>
        <v>700</v>
      </c>
    </row>
    <row r="965" spans="1:5" x14ac:dyDescent="0.2">
      <c r="A965" s="494" t="s">
        <v>2005</v>
      </c>
      <c r="B965" s="496" t="s">
        <v>580</v>
      </c>
      <c r="C965" s="496" t="s">
        <v>996</v>
      </c>
      <c r="D965" s="496" t="s">
        <v>1609</v>
      </c>
      <c r="E965" s="496">
        <f>'CCS Budget - Detailed'!H282</f>
        <v>7500</v>
      </c>
    </row>
    <row r="966" spans="1:5" x14ac:dyDescent="0.2">
      <c r="A966" s="496" t="s">
        <v>2005</v>
      </c>
      <c r="B966" s="496" t="s">
        <v>580</v>
      </c>
      <c r="C966" s="496" t="s">
        <v>998</v>
      </c>
      <c r="D966" s="496" t="s">
        <v>1609</v>
      </c>
      <c r="E966" s="496">
        <f>'CCS Budget - Detailed'!H283</f>
        <v>6600</v>
      </c>
    </row>
    <row r="967" spans="1:5" x14ac:dyDescent="0.2">
      <c r="A967" s="494" t="s">
        <v>2005</v>
      </c>
      <c r="B967" s="496" t="s">
        <v>580</v>
      </c>
      <c r="C967" s="496" t="s">
        <v>1000</v>
      </c>
      <c r="D967" s="496" t="s">
        <v>1609</v>
      </c>
      <c r="E967" s="496">
        <f>'CCS Budget - Detailed'!H284</f>
        <v>3500</v>
      </c>
    </row>
    <row r="968" spans="1:5" x14ac:dyDescent="0.2">
      <c r="A968" s="496" t="s">
        <v>2005</v>
      </c>
      <c r="B968" s="496" t="s">
        <v>580</v>
      </c>
      <c r="C968" s="496" t="s">
        <v>1002</v>
      </c>
      <c r="D968" s="496" t="s">
        <v>1609</v>
      </c>
      <c r="E968" s="496">
        <f>'CCS Budget - Detailed'!H285</f>
        <v>5500</v>
      </c>
    </row>
    <row r="969" spans="1:5" x14ac:dyDescent="0.2">
      <c r="A969" s="494" t="s">
        <v>2005</v>
      </c>
      <c r="B969" s="496" t="s">
        <v>580</v>
      </c>
      <c r="C969" s="496" t="s">
        <v>1007</v>
      </c>
      <c r="D969" s="496" t="s">
        <v>1609</v>
      </c>
      <c r="E969" s="496">
        <f>'CCS Budget - Detailed'!H289</f>
        <v>24980</v>
      </c>
    </row>
    <row r="970" spans="1:5" x14ac:dyDescent="0.2">
      <c r="A970" s="496" t="s">
        <v>2005</v>
      </c>
      <c r="B970" s="496" t="s">
        <v>580</v>
      </c>
      <c r="C970" s="496" t="s">
        <v>2260</v>
      </c>
      <c r="D970" s="496" t="s">
        <v>1609</v>
      </c>
      <c r="E970" s="496">
        <f>'CCS Budget - Detailed'!H290</f>
        <v>75</v>
      </c>
    </row>
    <row r="971" spans="1:5" x14ac:dyDescent="0.2">
      <c r="A971" s="494" t="s">
        <v>2005</v>
      </c>
      <c r="B971" s="496" t="s">
        <v>580</v>
      </c>
      <c r="C971" s="496" t="s">
        <v>1010</v>
      </c>
      <c r="D971" s="496" t="s">
        <v>1609</v>
      </c>
      <c r="E971" s="496">
        <f>'CCS Budget - Detailed'!H291</f>
        <v>362</v>
      </c>
    </row>
    <row r="972" spans="1:5" x14ac:dyDescent="0.2">
      <c r="A972" s="496" t="s">
        <v>2005</v>
      </c>
      <c r="B972" s="496" t="s">
        <v>580</v>
      </c>
      <c r="C972" s="496" t="s">
        <v>1012</v>
      </c>
      <c r="D972" s="496" t="s">
        <v>1609</v>
      </c>
      <c r="E972" s="496">
        <f>'CCS Budget - Detailed'!H292</f>
        <v>5096</v>
      </c>
    </row>
    <row r="973" spans="1:5" x14ac:dyDescent="0.2">
      <c r="A973" s="496" t="s">
        <v>2005</v>
      </c>
      <c r="B973" s="496" t="s">
        <v>580</v>
      </c>
      <c r="C973" s="496" t="s">
        <v>2685</v>
      </c>
      <c r="D973" s="496" t="s">
        <v>1609</v>
      </c>
      <c r="E973" s="496">
        <f>'CCS Budget - Detailed'!H293</f>
        <v>6170</v>
      </c>
    </row>
    <row r="974" spans="1:5" x14ac:dyDescent="0.2">
      <c r="A974" s="494" t="s">
        <v>2005</v>
      </c>
      <c r="B974" s="496" t="s">
        <v>580</v>
      </c>
      <c r="C974" s="496" t="s">
        <v>1015</v>
      </c>
      <c r="D974" s="496" t="s">
        <v>1609</v>
      </c>
      <c r="E974" s="496">
        <f>'CCS Budget - Detailed'!H294</f>
        <v>10000</v>
      </c>
    </row>
    <row r="975" spans="1:5" x14ac:dyDescent="0.2">
      <c r="A975" s="496" t="s">
        <v>2005</v>
      </c>
      <c r="B975" s="496" t="s">
        <v>580</v>
      </c>
      <c r="C975" s="496" t="s">
        <v>1019</v>
      </c>
      <c r="D975" s="496" t="s">
        <v>1609</v>
      </c>
      <c r="E975" s="496">
        <f>'CCS Budget - Detailed'!H296</f>
        <v>3200</v>
      </c>
    </row>
    <row r="976" spans="1:5" x14ac:dyDescent="0.2">
      <c r="A976" s="494" t="s">
        <v>2005</v>
      </c>
      <c r="B976" s="496" t="s">
        <v>580</v>
      </c>
      <c r="C976" s="496" t="s">
        <v>1021</v>
      </c>
      <c r="D976" s="496" t="s">
        <v>1609</v>
      </c>
      <c r="E976" s="496">
        <f>'CCS Budget - Detailed'!H297</f>
        <v>6700</v>
      </c>
    </row>
    <row r="977" spans="1:5" x14ac:dyDescent="0.2">
      <c r="A977" s="496" t="s">
        <v>2005</v>
      </c>
      <c r="B977" s="496" t="s">
        <v>580</v>
      </c>
      <c r="C977" s="496" t="s">
        <v>1023</v>
      </c>
      <c r="D977" s="496" t="s">
        <v>1609</v>
      </c>
      <c r="E977" s="496">
        <f>'CCS Budget - Detailed'!H298</f>
        <v>0</v>
      </c>
    </row>
    <row r="978" spans="1:5" x14ac:dyDescent="0.2">
      <c r="A978" s="494" t="s">
        <v>2005</v>
      </c>
      <c r="B978" s="496" t="s">
        <v>580</v>
      </c>
      <c r="C978" s="496" t="s">
        <v>1025</v>
      </c>
      <c r="D978" s="496" t="s">
        <v>1609</v>
      </c>
      <c r="E978" s="496">
        <f>'CCS Budget - Detailed'!H299</f>
        <v>3100</v>
      </c>
    </row>
    <row r="979" spans="1:5" x14ac:dyDescent="0.2">
      <c r="A979" s="496" t="s">
        <v>2005</v>
      </c>
      <c r="B979" s="496" t="s">
        <v>580</v>
      </c>
      <c r="C979" s="496" t="s">
        <v>1027</v>
      </c>
      <c r="D979" s="496" t="s">
        <v>1609</v>
      </c>
      <c r="E979" s="496">
        <f>'CCS Budget - Detailed'!H300</f>
        <v>3000</v>
      </c>
    </row>
    <row r="980" spans="1:5" x14ac:dyDescent="0.2">
      <c r="A980" s="494" t="s">
        <v>2005</v>
      </c>
      <c r="B980" s="496" t="s">
        <v>580</v>
      </c>
      <c r="C980" s="496" t="s">
        <v>1029</v>
      </c>
      <c r="D980" s="496" t="s">
        <v>1609</v>
      </c>
      <c r="E980" s="496">
        <f>'CCS Budget - Detailed'!H301</f>
        <v>3000</v>
      </c>
    </row>
    <row r="981" spans="1:5" x14ac:dyDescent="0.2">
      <c r="A981" s="496" t="s">
        <v>2005</v>
      </c>
      <c r="B981" s="496" t="s">
        <v>580</v>
      </c>
      <c r="C981" s="496" t="s">
        <v>1031</v>
      </c>
      <c r="D981" s="496" t="s">
        <v>1609</v>
      </c>
      <c r="E981" s="496">
        <f>'CCS Budget - Detailed'!H302</f>
        <v>3000</v>
      </c>
    </row>
    <row r="982" spans="1:5" x14ac:dyDescent="0.2">
      <c r="A982" s="496" t="s">
        <v>2005</v>
      </c>
      <c r="B982" s="496" t="s">
        <v>580</v>
      </c>
      <c r="C982" s="496" t="s">
        <v>2528</v>
      </c>
      <c r="D982" s="496" t="s">
        <v>1609</v>
      </c>
      <c r="E982" s="496">
        <f>'CCS Budget - Detailed'!H333</f>
        <v>60000</v>
      </c>
    </row>
    <row r="983" spans="1:5" x14ac:dyDescent="0.2">
      <c r="A983" s="494" t="s">
        <v>2005</v>
      </c>
      <c r="B983" s="496" t="s">
        <v>580</v>
      </c>
      <c r="C983" s="496" t="s">
        <v>1034</v>
      </c>
      <c r="D983" s="496" t="s">
        <v>1609</v>
      </c>
      <c r="E983" s="496">
        <f>'CCS Budget - Detailed'!H306</f>
        <v>2700</v>
      </c>
    </row>
    <row r="984" spans="1:5" x14ac:dyDescent="0.2">
      <c r="A984" s="496" t="s">
        <v>2005</v>
      </c>
      <c r="B984" s="496" t="s">
        <v>580</v>
      </c>
      <c r="C984" s="496" t="s">
        <v>1040</v>
      </c>
      <c r="D984" s="496" t="s">
        <v>1609</v>
      </c>
      <c r="E984" s="496">
        <f>'CCS Budget - Detailed'!H309</f>
        <v>2500</v>
      </c>
    </row>
    <row r="985" spans="1:5" x14ac:dyDescent="0.2">
      <c r="A985" s="494" t="s">
        <v>2005</v>
      </c>
      <c r="B985" s="496" t="s">
        <v>580</v>
      </c>
      <c r="C985" s="496" t="s">
        <v>1042</v>
      </c>
      <c r="D985" s="496" t="s">
        <v>1609</v>
      </c>
      <c r="E985" s="496">
        <f>'CCS Budget - Detailed'!H310</f>
        <v>6000</v>
      </c>
    </row>
    <row r="986" spans="1:5" x14ac:dyDescent="0.2">
      <c r="A986" s="496" t="s">
        <v>2005</v>
      </c>
      <c r="B986" s="496" t="s">
        <v>580</v>
      </c>
      <c r="C986" s="496" t="s">
        <v>1045</v>
      </c>
      <c r="D986" s="496" t="s">
        <v>1609</v>
      </c>
      <c r="E986" s="496">
        <f>'CCS Budget - Detailed'!H313</f>
        <v>4000</v>
      </c>
    </row>
    <row r="987" spans="1:5" x14ac:dyDescent="0.2">
      <c r="A987" s="494" t="s">
        <v>2005</v>
      </c>
      <c r="B987" s="496" t="s">
        <v>580</v>
      </c>
      <c r="C987" s="496" t="s">
        <v>2261</v>
      </c>
      <c r="D987" s="496" t="s">
        <v>1609</v>
      </c>
      <c r="E987" s="496">
        <f>'CCS Budget - Detailed'!H314</f>
        <v>58</v>
      </c>
    </row>
    <row r="988" spans="1:5" x14ac:dyDescent="0.2">
      <c r="A988" s="496" t="s">
        <v>2005</v>
      </c>
      <c r="B988" s="496" t="s">
        <v>580</v>
      </c>
      <c r="C988" s="496" t="s">
        <v>1047</v>
      </c>
      <c r="D988" s="496" t="s">
        <v>1609</v>
      </c>
      <c r="E988" s="496">
        <f>'CCS Budget - Detailed'!H315</f>
        <v>816</v>
      </c>
    </row>
    <row r="989" spans="1:5" x14ac:dyDescent="0.2">
      <c r="A989" s="494" t="s">
        <v>2005</v>
      </c>
      <c r="B989" s="496" t="s">
        <v>580</v>
      </c>
      <c r="C989" s="496" t="s">
        <v>1999</v>
      </c>
      <c r="D989" s="496" t="s">
        <v>1609</v>
      </c>
      <c r="E989" s="496">
        <f>'CCS Budget - Detailed'!H316</f>
        <v>12</v>
      </c>
    </row>
    <row r="990" spans="1:5" x14ac:dyDescent="0.2">
      <c r="A990" s="496" t="s">
        <v>2005</v>
      </c>
      <c r="B990" s="496" t="s">
        <v>580</v>
      </c>
      <c r="C990" s="496" t="s">
        <v>1052</v>
      </c>
      <c r="D990" s="496" t="s">
        <v>1609</v>
      </c>
      <c r="E990" s="496">
        <f>'CCS Budget - Detailed'!H319</f>
        <v>34423</v>
      </c>
    </row>
    <row r="991" spans="1:5" x14ac:dyDescent="0.2">
      <c r="A991" s="494" t="s">
        <v>2005</v>
      </c>
      <c r="B991" s="496" t="s">
        <v>580</v>
      </c>
      <c r="C991" s="496" t="s">
        <v>2262</v>
      </c>
      <c r="D991" s="496" t="s">
        <v>1609</v>
      </c>
      <c r="E991" s="496">
        <f>'CCS Budget - Detailed'!H320</f>
        <v>103</v>
      </c>
    </row>
    <row r="992" spans="1:5" x14ac:dyDescent="0.2">
      <c r="A992" s="496" t="s">
        <v>2005</v>
      </c>
      <c r="B992" s="496" t="s">
        <v>580</v>
      </c>
      <c r="C992" s="496" t="s">
        <v>1054</v>
      </c>
      <c r="D992" s="496" t="s">
        <v>1609</v>
      </c>
      <c r="E992" s="496">
        <f>'CCS Budget - Detailed'!H321</f>
        <v>499</v>
      </c>
    </row>
    <row r="993" spans="1:5" x14ac:dyDescent="0.2">
      <c r="A993" s="494" t="s">
        <v>2005</v>
      </c>
      <c r="B993" s="496" t="s">
        <v>580</v>
      </c>
      <c r="C993" s="496" t="s">
        <v>1056</v>
      </c>
      <c r="D993" s="496" t="s">
        <v>1609</v>
      </c>
      <c r="E993" s="496">
        <f>'CCS Budget - Detailed'!H322</f>
        <v>7022</v>
      </c>
    </row>
    <row r="994" spans="1:5" x14ac:dyDescent="0.2">
      <c r="A994" s="496" t="s">
        <v>2005</v>
      </c>
      <c r="B994" s="496" t="s">
        <v>580</v>
      </c>
      <c r="C994" s="496" t="s">
        <v>1058</v>
      </c>
      <c r="D994" s="496" t="s">
        <v>1609</v>
      </c>
      <c r="E994" s="496">
        <f>'CCS Budget - Detailed'!H323</f>
        <v>6170</v>
      </c>
    </row>
    <row r="995" spans="1:5" x14ac:dyDescent="0.2">
      <c r="A995" s="494" t="s">
        <v>2005</v>
      </c>
      <c r="B995" s="496" t="s">
        <v>580</v>
      </c>
      <c r="C995" s="496" t="s">
        <v>1062</v>
      </c>
      <c r="D995" s="496" t="s">
        <v>1609</v>
      </c>
      <c r="E995" s="496">
        <f>'CCS Budget - Detailed'!H326</f>
        <v>5000</v>
      </c>
    </row>
    <row r="996" spans="1:5" x14ac:dyDescent="0.2">
      <c r="A996" s="496" t="s">
        <v>2005</v>
      </c>
      <c r="B996" s="496" t="s">
        <v>580</v>
      </c>
      <c r="C996" s="496" t="s">
        <v>1065</v>
      </c>
      <c r="D996" s="496" t="s">
        <v>1609</v>
      </c>
      <c r="E996" s="496">
        <f>'CCS Budget - Detailed'!H329</f>
        <v>30840</v>
      </c>
    </row>
    <row r="997" spans="1:5" x14ac:dyDescent="0.2">
      <c r="A997" s="494" t="s">
        <v>2005</v>
      </c>
      <c r="B997" s="496" t="s">
        <v>580</v>
      </c>
      <c r="C997" s="496" t="s">
        <v>1071</v>
      </c>
      <c r="D997" s="496" t="s">
        <v>1609</v>
      </c>
      <c r="E997" s="496">
        <f>'CCS Budget - Detailed'!H338</f>
        <v>754015</v>
      </c>
    </row>
    <row r="998" spans="1:5" x14ac:dyDescent="0.2">
      <c r="A998" s="496" t="s">
        <v>2005</v>
      </c>
      <c r="B998" s="496" t="s">
        <v>580</v>
      </c>
      <c r="C998" s="496" t="s">
        <v>1073</v>
      </c>
      <c r="D998" s="496" t="s">
        <v>1609</v>
      </c>
      <c r="E998" s="496">
        <f>'CCS Budget - Detailed'!H339</f>
        <v>72246</v>
      </c>
    </row>
    <row r="999" spans="1:5" x14ac:dyDescent="0.2">
      <c r="A999" s="494" t="s">
        <v>2005</v>
      </c>
      <c r="B999" s="496" t="s">
        <v>430</v>
      </c>
      <c r="C999" s="496" t="s">
        <v>2264</v>
      </c>
      <c r="D999" s="496" t="s">
        <v>1587</v>
      </c>
      <c r="E999" s="496">
        <f>'CCS Budget - Detailed'!J349</f>
        <v>181947</v>
      </c>
    </row>
    <row r="1000" spans="1:5" x14ac:dyDescent="0.2">
      <c r="A1000" s="496" t="s">
        <v>2005</v>
      </c>
      <c r="B1000" s="496" t="s">
        <v>430</v>
      </c>
      <c r="C1000" s="496" t="s">
        <v>2263</v>
      </c>
      <c r="D1000" s="496" t="s">
        <v>1587</v>
      </c>
      <c r="E1000" s="496">
        <f>'CCS Budget - Detailed'!J352+'CCS Budget - Detailed'!J351</f>
        <v>168465</v>
      </c>
    </row>
    <row r="1001" spans="1:5" x14ac:dyDescent="0.2">
      <c r="A1001" s="494" t="s">
        <v>2005</v>
      </c>
      <c r="B1001" s="496" t="s">
        <v>430</v>
      </c>
      <c r="C1001" s="496" t="s">
        <v>1083</v>
      </c>
      <c r="D1001" s="496" t="s">
        <v>1587</v>
      </c>
      <c r="E1001" s="496">
        <f>'CCS Budget - Detailed'!J353</f>
        <v>320</v>
      </c>
    </row>
    <row r="1002" spans="1:5" x14ac:dyDescent="0.2">
      <c r="A1002" s="494" t="s">
        <v>2005</v>
      </c>
      <c r="B1002" s="496" t="s">
        <v>430</v>
      </c>
      <c r="C1002" s="496" t="s">
        <v>2527</v>
      </c>
      <c r="D1002" s="496" t="s">
        <v>1609</v>
      </c>
      <c r="E1002" s="496">
        <f>'CCS Budget - Detailed'!J357</f>
        <v>30000</v>
      </c>
    </row>
    <row r="1003" spans="1:5" x14ac:dyDescent="0.2">
      <c r="A1003" s="494" t="s">
        <v>2005</v>
      </c>
      <c r="B1003" s="496" t="s">
        <v>430</v>
      </c>
      <c r="C1003" s="496" t="s">
        <v>1089</v>
      </c>
      <c r="D1003" s="496" t="s">
        <v>1609</v>
      </c>
      <c r="E1003" s="496">
        <f>'CCS Budget - Detailed'!J359</f>
        <v>80000</v>
      </c>
    </row>
    <row r="1004" spans="1:5" x14ac:dyDescent="0.2">
      <c r="A1004" s="494" t="s">
        <v>2005</v>
      </c>
      <c r="B1004" s="496" t="s">
        <v>430</v>
      </c>
      <c r="C1004" s="496" t="s">
        <v>1091</v>
      </c>
      <c r="D1004" s="496" t="s">
        <v>1609</v>
      </c>
      <c r="E1004" s="496">
        <f>'CCS Budget - Detailed'!J360</f>
        <v>28465</v>
      </c>
    </row>
    <row r="1005" spans="1:5" x14ac:dyDescent="0.2">
      <c r="A1005" s="494" t="s">
        <v>2005</v>
      </c>
      <c r="B1005" s="496" t="s">
        <v>430</v>
      </c>
      <c r="C1005" s="496" t="s">
        <v>1092</v>
      </c>
      <c r="D1005" s="496" t="s">
        <v>1609</v>
      </c>
      <c r="E1005" s="496">
        <f>'CCS Budget - Detailed'!J361</f>
        <v>30000</v>
      </c>
    </row>
    <row r="1006" spans="1:5" x14ac:dyDescent="0.2">
      <c r="A1006" s="496" t="s">
        <v>2005</v>
      </c>
      <c r="B1006" s="496" t="s">
        <v>430</v>
      </c>
      <c r="C1006" s="496" t="s">
        <v>2265</v>
      </c>
      <c r="D1006" s="496" t="s">
        <v>1609</v>
      </c>
      <c r="E1006" s="496">
        <f>'CCS Budget - Detailed'!J366</f>
        <v>182267</v>
      </c>
    </row>
    <row r="1007" spans="1:5" x14ac:dyDescent="0.2">
      <c r="A1007" s="494" t="s">
        <v>2005</v>
      </c>
      <c r="B1007" s="496" t="s">
        <v>2335</v>
      </c>
      <c r="C1007" s="496" t="s">
        <v>2686</v>
      </c>
      <c r="D1007" s="496" t="s">
        <v>1587</v>
      </c>
      <c r="E1007" s="496">
        <f>'CCS Budget - Detailed'!J376</f>
        <v>19954</v>
      </c>
    </row>
    <row r="1008" spans="1:5" x14ac:dyDescent="0.2">
      <c r="A1008" s="494" t="s">
        <v>2005</v>
      </c>
      <c r="B1008" s="496" t="s">
        <v>2335</v>
      </c>
      <c r="C1008" s="496" t="s">
        <v>2687</v>
      </c>
      <c r="D1008" s="496" t="s">
        <v>1587</v>
      </c>
      <c r="E1008" s="496">
        <f>'CCS Budget - Detailed'!J378</f>
        <v>100000</v>
      </c>
    </row>
    <row r="1009" spans="1:5" x14ac:dyDescent="0.2">
      <c r="A1009" s="496" t="s">
        <v>2005</v>
      </c>
      <c r="B1009" s="496" t="s">
        <v>2335</v>
      </c>
      <c r="C1009" s="496" t="s">
        <v>2688</v>
      </c>
      <c r="D1009" s="496" t="s">
        <v>1587</v>
      </c>
      <c r="E1009" s="496">
        <f>'CCS Budget - Detailed'!J379</f>
        <v>47</v>
      </c>
    </row>
    <row r="1010" spans="1:5" x14ac:dyDescent="0.2">
      <c r="A1010" s="494" t="s">
        <v>2005</v>
      </c>
      <c r="B1010" s="496" t="s">
        <v>2335</v>
      </c>
      <c r="C1010" s="496" t="s">
        <v>2689</v>
      </c>
      <c r="D1010" s="496" t="s">
        <v>1609</v>
      </c>
      <c r="E1010" s="496">
        <f>'CCS Budget - Detailed'!J383</f>
        <v>100000</v>
      </c>
    </row>
    <row r="1011" spans="1:5" x14ac:dyDescent="0.2">
      <c r="A1011" s="494" t="s">
        <v>2005</v>
      </c>
      <c r="B1011" s="496" t="s">
        <v>2335</v>
      </c>
      <c r="C1011" s="496" t="s">
        <v>2690</v>
      </c>
      <c r="D1011" s="496" t="s">
        <v>1609</v>
      </c>
      <c r="E1011" s="496">
        <f>'CCS Budget - Detailed'!J384</f>
        <v>20001</v>
      </c>
    </row>
    <row r="1012" spans="1:5" x14ac:dyDescent="0.2">
      <c r="A1012" s="494" t="s">
        <v>2005</v>
      </c>
      <c r="B1012" s="496" t="s">
        <v>404</v>
      </c>
      <c r="C1012" s="496" t="s">
        <v>2698</v>
      </c>
      <c r="D1012" s="496" t="s">
        <v>1609</v>
      </c>
      <c r="E1012" s="496" t="s">
        <v>448</v>
      </c>
    </row>
    <row r="1013" spans="1:5" x14ac:dyDescent="0.2">
      <c r="A1013" s="494" t="s">
        <v>2005</v>
      </c>
      <c r="B1013" s="496" t="s">
        <v>404</v>
      </c>
      <c r="C1013" s="496" t="s">
        <v>2699</v>
      </c>
      <c r="D1013" s="496" t="s">
        <v>1609</v>
      </c>
      <c r="E1013" s="496" t="s">
        <v>448</v>
      </c>
    </row>
    <row r="1014" spans="1:5" x14ac:dyDescent="0.2">
      <c r="A1014" s="496" t="s">
        <v>2005</v>
      </c>
      <c r="B1014" s="496" t="s">
        <v>580</v>
      </c>
      <c r="C1014" s="496" t="s">
        <v>2700</v>
      </c>
      <c r="D1014" s="496" t="s">
        <v>1609</v>
      </c>
      <c r="E1014" s="496" t="s">
        <v>448</v>
      </c>
    </row>
    <row r="1015" spans="1:5" x14ac:dyDescent="0.2">
      <c r="A1015" s="494" t="s">
        <v>2005</v>
      </c>
      <c r="B1015" s="496" t="s">
        <v>580</v>
      </c>
      <c r="C1015" s="496" t="s">
        <v>2701</v>
      </c>
      <c r="D1015" s="496" t="s">
        <v>1587</v>
      </c>
      <c r="E1015" s="496" t="s">
        <v>448</v>
      </c>
    </row>
    <row r="1016" spans="1:5" x14ac:dyDescent="0.2">
      <c r="A1016" s="494" t="s">
        <v>2005</v>
      </c>
      <c r="B1016" s="496" t="s">
        <v>40</v>
      </c>
      <c r="C1016" s="496" t="s">
        <v>2702</v>
      </c>
      <c r="D1016" s="496" t="s">
        <v>1609</v>
      </c>
      <c r="E1016" s="496" t="s">
        <v>448</v>
      </c>
    </row>
    <row r="1020" spans="1:5" x14ac:dyDescent="0.2">
      <c r="B1020" s="496" t="s">
        <v>448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Compar Page</vt:lpstr>
      <vt:lpstr>Resolution page</vt:lpstr>
      <vt:lpstr>MCS Budget - Detailed</vt:lpstr>
      <vt:lpstr>CCS Budget - Detailed</vt:lpstr>
      <vt:lpstr>Uniform Budget Summary</vt:lpstr>
      <vt:lpstr>AptaFund Formulas</vt:lpstr>
      <vt:lpstr>AptaFund Import</vt:lpstr>
      <vt:lpstr>'CCS Budget - Detailed'!Print_Area</vt:lpstr>
      <vt:lpstr>'Compar Page'!Print_Area</vt:lpstr>
      <vt:lpstr>'MCS Budget - Detailed'!Print_Area</vt:lpstr>
      <vt:lpstr>'Resolution page'!Print_Area</vt:lpstr>
      <vt:lpstr>'Uniform Budget Summary'!Print_Area</vt:lpstr>
      <vt:lpstr>'MCS Budget - Detailed'!Print_Titles</vt:lpstr>
      <vt:lpstr>'Uniform Budget Summary'!Print_Titles</vt:lpstr>
    </vt:vector>
  </TitlesOfParts>
  <Company>Moffat Consolidated School District #2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Hazard</dc:creator>
  <cp:lastModifiedBy>Jodi Anderson</cp:lastModifiedBy>
  <cp:lastPrinted>2019-12-05T22:05:10Z</cp:lastPrinted>
  <dcterms:created xsi:type="dcterms:W3CDTF">2016-05-03T19:58:31Z</dcterms:created>
  <dcterms:modified xsi:type="dcterms:W3CDTF">2019-12-18T22:30:40Z</dcterms:modified>
</cp:coreProperties>
</file>